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e1e963575849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ummary" sheetId="1" r:id="Re35fd25a29474815"/>
    <x:sheet xmlns:r="http://schemas.openxmlformats.org/officeDocument/2006/relationships" name="Assumptions" sheetId="2" r:id="Rd09c922f5a044775"/>
    <x:sheet xmlns:r="http://schemas.openxmlformats.org/officeDocument/2006/relationships" name="Model" sheetId="3" r:id="Rf4a2d519d6ea4561"/>
    <x:sheet xmlns:r="http://schemas.openxmlformats.org/officeDocument/2006/relationships" name="Sensitivities" sheetId="4" r:id="R01e63c66e36c496d"/>
    <x:sheet xmlns:r="http://schemas.openxmlformats.org/officeDocument/2006/relationships" name="Sources" sheetId="5" r:id="Rb3e2347f9715447c"/>
    <x:sheet xmlns:r="http://schemas.openxmlformats.org/officeDocument/2006/relationships" name="Checks" sheetId="6" r:id="R1a5bc8b9ae384f4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#,##0.0;(#,##0.0);&quot;–&quot;"/>
    <x:numFmt numFmtId="201" formatCode="&quot;$&quot;0.00;(&quot;$&quot;0.00);&quot;–&quot;"/>
    <x:numFmt numFmtId="202" formatCode="0.0%;(0.0%);&quot;–&quot;"/>
    <x:numFmt numFmtId="203" formatCode="&quot;$&quot;#,##0.0;(&quot;$&quot;#,##0.0);&quot;–&quot;"/>
    <x:numFmt numFmtId="204" formatCode="0.00;(0.00);0.00"/>
    <x:numFmt numFmtId="205" formatCode="0.00000"/>
  </x:numFmts>
  <x:fonts count="11">
    <x:font>
      <x:sz val="11"/>
      <x:name val="Carlito"/>
    </x:font>
    <x:font>
      <x:sz val="10"/>
      <x:color rgb="FF242321"/>
      <x:name val="Arial"/>
    </x:font>
    <x:font>
      <x:b/>
      <x:sz val="16"/>
      <x:color rgb="FF242321"/>
      <x:name val="Arial"/>
    </x:font>
    <x:font>
      <x:sz val="10"/>
      <x:color rgb="FF716C65"/>
      <x:name val="Arial"/>
    </x:font>
    <x:font>
      <x:b/>
      <x:sz val="10"/>
      <x:color rgb="FFFFFFFF"/>
      <x:name val="Arial"/>
    </x:font>
    <x:font>
      <x:sz val="10"/>
      <x:color rgb="FF2354A0"/>
      <x:name val="Arial"/>
    </x:font>
    <x:font>
      <x:b/>
      <x:sz val="10"/>
      <x:color rgb="FF242321"/>
      <x:name val="Arial"/>
    </x:font>
    <x:font>
      <x:sz val="10"/>
      <x:color rgb="FF2354A0"/>
      <x:name val="Arial"/>
    </x:font>
    <x:font>
      <x:sz val="10"/>
      <x:color rgb="FF242321"/>
      <x:name val="Arial"/>
    </x:font>
    <x:font>
      <x:sz val="10"/>
      <x:color rgb="FF23714B"/>
      <x:name val="Arial"/>
    </x:font>
    <x:font>
      <x:b/>
      <x:sz val="10"/>
      <x:color rgb="FF23714B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42321"/>
      </x:patternFill>
    </x:fill>
    <x:fill>
      <x:patternFill patternType="solid">
        <x:fgColor rgb="FFF3EEE8"/>
      </x:patternFill>
    </x:fill>
    <x:fill>
      <x:patternFill patternType="solid">
        <x:fgColor rgb="FFFFF4D8"/>
      </x:patternFill>
    </x:fill>
  </x:fills>
  <x:borders count="4">
    <x:border/>
    <x:border>
      <x:bottom style="thin">
        <x:color rgb="FFD8D2C9"/>
      </x:bottom>
    </x:border>
    <x:border>
      <x:top style="thin">
        <x:color rgb="FFD8D2C9"/>
      </x:top>
    </x:border>
    <x:border>
      <x:left style="medium">
        <x:color rgb="FF242321"/>
      </x:left>
      <x:right style="medium">
        <x:color rgb="FF242321"/>
      </x:right>
      <x:top style="medium">
        <x:color rgb="FF242321"/>
      </x:top>
      <x:bottom style="medium">
        <x:color rgb="FF242321"/>
      </x:bottom>
    </x:border>
  </x:borders>
  <x:cellStyleXfs count="1">
    <x:xf numFmtId="0" fontId="0" fillId="0" borderId="0"/>
  </x:cellStyleXfs>
  <x:cellXfs count="8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horizontal="right" vertical="center"/>
    </x:xf>
    <x:xf numFmtId="0" fontId="1" fillId="0" borderId="1" xfId="0" applyNumberFormat="1" applyFont="1" applyFill="1" applyBorder="1" applyAlignment="1">
      <x:alignment vertical="center"/>
    </x:xf>
    <x:xf numFmtId="200" fontId="1" fillId="0" borderId="1" xfId="0" applyNumberFormat="1" applyFont="1" applyFill="1" applyBorder="1" applyAlignment="1">
      <x:alignment horizontal="right" vertical="center"/>
    </x:xf>
    <x:xf numFmtId="0" fontId="2" fillId="0" borderId="0" xfId="0" applyNumberFormat="1" applyFont="1" applyFill="1" applyBorder="1" applyAlignment="1">
      <x:alignment vertical="center"/>
    </x:xf>
    <x:xf numFmtId="200" fontId="2" fillId="0" borderId="0" xfId="0" applyNumberFormat="1" applyFont="1" applyFill="1" applyBorder="1" applyAlignment="1">
      <x:alignment horizontal="right" vertical="center"/>
    </x:xf>
    <x:xf numFmtId="0" fontId="2" fillId="0" borderId="0" xfId="0" applyNumberFormat="1" applyFont="1" applyFill="1" applyBorder="1" applyAlignment="1">
      <x:alignment horizontal="left" vertical="center"/>
    </x:xf>
    <x:xf numFmtId="200" fontId="2" fillId="0" borderId="0" xfId="0" applyNumberFormat="1" applyFont="1" applyFill="1" applyBorder="1" applyAlignment="1">
      <x:alignment horizontal="left" vertical="center"/>
    </x:xf>
    <x:xf numFmtId="0" fontId="3" fillId="0" borderId="0" xfId="0" applyNumberFormat="1" applyFont="1" applyFill="1" applyBorder="1" applyAlignment="1">
      <x:alignment vertical="center"/>
    </x:xf>
    <x:xf numFmtId="200" fontId="3" fillId="0" borderId="0" xfId="0" applyNumberFormat="1" applyFont="1" applyFill="1" applyBorder="1" applyAlignment="1">
      <x:alignment horizontal="right" vertical="center"/>
    </x:xf>
    <x:xf numFmtId="0" fontId="3" fillId="0" borderId="0" xfId="0" applyNumberFormat="1" applyFont="1" applyFill="1" applyBorder="1" applyAlignment="1">
      <x:alignment horizontal="left" vertical="center"/>
    </x:xf>
    <x:xf numFmtId="200" fontId="3" fillId="0" borderId="0" xfId="0" applyNumberFormat="1" applyFont="1" applyFill="1" applyBorder="1" applyAlignment="1">
      <x:alignment horizontal="left"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horizontal="right" vertical="center"/>
    </x:xf>
    <x:xf numFmtId="0" fontId="4" fillId="2" borderId="0" xfId="0" applyNumberFormat="1" applyFont="1" applyFill="1" applyBorder="1" applyAlignment="1">
      <x:alignment vertical="center"/>
    </x:xf>
    <x:xf numFmtId="200" fontId="4" fillId="2" borderId="0" xfId="0" applyNumberFormat="1" applyFont="1" applyFill="1" applyBorder="1" applyAlignment="1">
      <x:alignment horizontal="right" vertical="center"/>
    </x:xf>
    <x:xf numFmtId="0" fontId="4" fillId="2" borderId="0" xfId="0" applyNumberFormat="1" applyFont="1" applyFill="1" applyBorder="1" applyAlignment="1">
      <x:alignment horizontal="center" vertical="center"/>
    </x:xf>
    <x:xf numFmtId="200" fontId="4" fillId="2" borderId="0" xfId="0" applyNumberFormat="1" applyFont="1" applyFill="1" applyBorder="1" applyAlignment="1">
      <x:alignment horizontal="center" vertical="center"/>
    </x:xf>
    <x:xf numFmtId="200" fontId="5" fillId="0" borderId="0" xfId="0" applyNumberFormat="1" applyFont="1" applyFill="1" applyBorder="1" applyAlignment="1">
      <x:alignment horizontal="right" vertical="center"/>
    </x:xf>
    <x:xf numFmtId="0" fontId="6" fillId="0" borderId="0" xfId="0" applyNumberFormat="1" applyFont="1" applyFill="1" applyBorder="1" applyAlignment="1">
      <x:alignment vertical="center"/>
    </x:xf>
    <x:xf numFmtId="200" fontId="6" fillId="0" borderId="0" xfId="0" applyNumberFormat="1" applyFont="1" applyFill="1" applyBorder="1" applyAlignment="1">
      <x:alignment horizontal="right" vertical="center"/>
    </x:xf>
    <x:xf numFmtId="0" fontId="6" fillId="0" borderId="0" xfId="0" applyNumberFormat="1" applyFont="1" applyFill="1" applyBorder="1" applyAlignment="1">
      <x:alignment horizontal="left" vertical="center"/>
    </x:xf>
    <x:xf numFmtId="200" fontId="6" fillId="0" borderId="0" xfId="0" applyNumberFormat="1" applyFont="1" applyFill="1" applyBorder="1" applyAlignment="1">
      <x:alignment horizontal="left" vertical="center"/>
    </x:xf>
    <x:xf numFmtId="0" fontId="6" fillId="3" borderId="0" xfId="0" applyNumberFormat="1" applyFont="1" applyFill="1" applyBorder="1" applyAlignment="1">
      <x:alignment horizontal="left" vertical="center"/>
    </x:xf>
    <x:xf numFmtId="200" fontId="6" fillId="3" borderId="0" xfId="0" applyNumberFormat="1" applyFont="1" applyFill="1" applyBorder="1" applyAlignment="1">
      <x:alignment horizontal="left" vertical="center"/>
    </x:xf>
    <x:xf numFmtId="201" fontId="5" fillId="0" borderId="0" xfId="0" applyNumberFormat="1" applyFont="1" applyFill="1" applyBorder="1" applyAlignment="1">
      <x:alignment horizontal="right" vertical="center"/>
    </x:xf>
    <x:xf numFmtId="0" fontId="7" fillId="0" borderId="0" xfId="0" applyNumberFormat="1" applyFont="1" applyFill="1" applyBorder="1" applyAlignment="1">
      <x:alignment vertical="center"/>
    </x:xf>
    <x:xf numFmtId="200" fontId="7" fillId="0" borderId="0" xfId="0" applyNumberFormat="1" applyFont="1" applyFill="1" applyBorder="1" applyAlignment="1">
      <x:alignment horizontal="right" vertical="center"/>
    </x:xf>
    <x:xf numFmtId="0" fontId="7" fillId="0" borderId="0" xfId="0" applyNumberFormat="1" applyFont="1" applyFill="1" applyBorder="1" applyAlignment="1">
      <x:alignment horizontal="left" vertical="center"/>
    </x:xf>
    <x:xf numFmtId="200" fontId="7" fillId="0" borderId="0" xfId="0" applyNumberFormat="1" applyFont="1" applyFill="1" applyBorder="1" applyAlignment="1">
      <x:alignment horizontal="left" vertical="center"/>
    </x:xf>
    <x:xf numFmtId="0" fontId="8" fillId="0" borderId="0" xfId="0" applyNumberFormat="1" applyFont="1" applyFill="1" applyBorder="1" applyAlignment="1">
      <x:alignment vertical="center"/>
    </x:xf>
    <x:xf numFmtId="200" fontId="8" fillId="0" borderId="0" xfId="0" applyNumberFormat="1" applyFont="1" applyFill="1" applyBorder="1" applyAlignment="1">
      <x:alignment horizontal="right" vertical="center"/>
    </x:xf>
    <x:xf numFmtId="0" fontId="8" fillId="0" borderId="0" xfId="0" applyNumberFormat="1" applyFont="1" applyFill="1" applyBorder="1" applyAlignment="1">
      <x:alignment horizontal="left" vertical="center"/>
    </x:xf>
    <x:xf numFmtId="200" fontId="8" fillId="0" borderId="0" xfId="0" applyNumberFormat="1" applyFont="1" applyFill="1" applyBorder="1" applyAlignment="1">
      <x:alignment horizontal="left" vertical="center"/>
    </x:xf>
    <x:xf numFmtId="0" fontId="8" fillId="0" borderId="0" xfId="0" applyNumberFormat="1" applyFont="1" applyFill="1" applyBorder="1" applyAlignment="1">
      <x:alignment horizontal="left" vertical="center" wrapText="1"/>
    </x:xf>
    <x:xf numFmtId="200" fontId="8" fillId="0" borderId="0" xfId="0" applyNumberFormat="1" applyFont="1" applyFill="1" applyBorder="1" applyAlignment="1">
      <x:alignment horizontal="left" vertical="center" wrapText="1"/>
    </x:xf>
    <x:xf numFmtId="200" fontId="9" fillId="0" borderId="0" xfId="0" applyNumberFormat="1" applyFont="1" applyFill="1" applyBorder="1" applyAlignment="1">
      <x:alignment horizontal="right" vertical="center"/>
    </x:xf>
    <x:xf numFmtId="0" fontId="3" fillId="0" borderId="0" xfId="0" applyNumberFormat="1" applyFont="1" applyFill="1" applyBorder="1" applyAlignment="1">
      <x:alignment horizontal="left" vertical="center" wrapText="1"/>
    </x:xf>
    <x:xf numFmtId="200" fontId="1" fillId="4" borderId="0" xfId="0" applyNumberFormat="1" applyFont="1" applyFill="1" applyBorder="1" applyAlignment="1">
      <x:alignment horizontal="right" vertical="center"/>
    </x:xf>
    <x:xf numFmtId="200" fontId="5" fillId="4" borderId="0" xfId="0" applyNumberFormat="1" applyFont="1" applyFill="1" applyBorder="1" applyAlignment="1">
      <x:alignment horizontal="right" vertical="center"/>
    </x:xf>
    <x:xf numFmtId="202" fontId="5" fillId="4" borderId="0" xfId="0" applyNumberFormat="1" applyFont="1" applyFill="1" applyBorder="1" applyAlignment="1">
      <x:alignment horizontal="right" vertical="center"/>
    </x:xf>
    <x:xf numFmtId="202" fontId="1" fillId="0" borderId="0" xfId="0" applyNumberFormat="1" applyFont="1" applyFill="1" applyBorder="1" applyAlignment="1">
      <x:alignment horizontal="right" vertical="center"/>
    </x:xf>
    <x:xf numFmtId="202" fontId="9" fillId="0" borderId="0" xfId="0" applyNumberFormat="1" applyFont="1" applyFill="1" applyBorder="1" applyAlignment="1">
      <x:alignment horizontal="right" vertical="center"/>
    </x:xf>
    <x:xf numFmtId="201" fontId="1" fillId="0" borderId="0" xfId="0" applyNumberFormat="1" applyFont="1" applyFill="1" applyBorder="1" applyAlignment="1">
      <x:alignment horizontal="right" vertical="center"/>
    </x:xf>
    <x:xf numFmtId="201" fontId="9" fillId="0" borderId="0" xfId="0" applyNumberFormat="1" applyFont="1" applyFill="1" applyBorder="1" applyAlignment="1">
      <x:alignment horizontal="right" vertical="center"/>
    </x:xf>
    <x:xf numFmtId="200" fontId="10" fillId="0" borderId="0" xfId="0" applyNumberFormat="1" applyFont="1" applyFill="1" applyBorder="1" applyAlignment="1">
      <x:alignment horizontal="right" vertical="center"/>
    </x:xf>
    <x:xf numFmtId="0" fontId="6" fillId="0" borderId="2" xfId="0" applyNumberFormat="1" applyFont="1" applyFill="1" applyBorder="1" applyAlignment="1">
      <x:alignment vertical="center"/>
    </x:xf>
    <x:xf numFmtId="200" fontId="10" fillId="0" borderId="2" xfId="0" applyNumberFormat="1" applyFont="1" applyFill="1" applyBorder="1" applyAlignment="1">
      <x:alignment horizontal="right" vertical="center"/>
    </x:xf>
    <x:xf numFmtId="200" fontId="6" fillId="0" borderId="2" xfId="0" applyNumberFormat="1" applyFont="1" applyFill="1" applyBorder="1" applyAlignment="1">
      <x:alignment horizontal="right" vertical="center"/>
    </x:xf>
    <x:xf numFmtId="201" fontId="10" fillId="0" borderId="0" xfId="0" applyNumberFormat="1" applyFont="1" applyFill="1" applyBorder="1" applyAlignment="1">
      <x:alignment horizontal="right" vertical="center"/>
    </x:xf>
    <x:xf numFmtId="201" fontId="6" fillId="0" borderId="0" xfId="0" applyNumberFormat="1" applyFont="1" applyFill="1" applyBorder="1" applyAlignment="1">
      <x:alignment horizontal="right" vertical="center"/>
    </x:xf>
    <x:xf numFmtId="201" fontId="10" fillId="0" borderId="2" xfId="0" applyNumberFormat="1" applyFont="1" applyFill="1" applyBorder="1" applyAlignment="1">
      <x:alignment horizontal="right" vertical="center"/>
    </x:xf>
    <x:xf numFmtId="201" fontId="6" fillId="0" borderId="2" xfId="0" applyNumberFormat="1" applyFont="1" applyFill="1" applyBorder="1" applyAlignment="1">
      <x:alignment horizontal="right" vertical="center"/>
    </x:xf>
    <x:xf numFmtId="0" fontId="6" fillId="3" borderId="2" xfId="0" applyNumberFormat="1" applyFont="1" applyFill="1" applyBorder="1" applyAlignment="1">
      <x:alignment vertical="center"/>
    </x:xf>
    <x:xf numFmtId="200" fontId="6" fillId="3" borderId="2" xfId="0" applyNumberFormat="1" applyFont="1" applyFill="1" applyBorder="1" applyAlignment="1">
      <x:alignment horizontal="right" vertical="center"/>
    </x:xf>
    <x:xf numFmtId="200" fontId="3" fillId="0" borderId="0" xfId="0" applyNumberFormat="1" applyFont="1" applyFill="1" applyBorder="1" applyAlignment="1">
      <x:alignment horizontal="left" vertical="center" wrapText="1"/>
    </x:xf>
    <x:xf numFmtId="200" fontId="6" fillId="0" borderId="0" xfId="0" applyNumberFormat="1" applyFont="1" applyFill="1" applyBorder="1" applyAlignment="1">
      <x:alignment horizontal="left" vertical="center" wrapText="1"/>
    </x:xf>
    <x:xf numFmtId="0" fontId="9" fillId="0" borderId="0" xfId="0" applyNumberFormat="1" applyFont="1" applyFill="1" applyBorder="1" applyAlignment="1">
      <x:alignment vertical="center"/>
    </x:xf>
    <x:xf numFmtId="202" fontId="9" fillId="0" borderId="0" xfId="0" applyNumberFormat="1" applyFont="1" applyFill="1" applyBorder="1" applyAlignment="1">
      <x:alignment vertical="center"/>
    </x:xf>
    <x:xf numFmtId="200" fontId="1" fillId="0" borderId="3" xfId="0" applyNumberFormat="1" applyFont="1" applyFill="1" applyBorder="1" applyAlignment="1">
      <x:alignment horizontal="right" vertical="center"/>
    </x:xf>
    <x:xf numFmtId="202" fontId="1" fillId="0" borderId="0" xfId="0" applyNumberFormat="1" applyFont="1" applyFill="1" applyBorder="1" applyAlignment="1">
      <x:alignment vertical="center"/>
    </x:xf>
    <x:xf numFmtId="201" fontId="1" fillId="0" borderId="3" xfId="0" applyNumberFormat="1" applyFont="1" applyFill="1" applyBorder="1" applyAlignment="1">
      <x:alignment horizontal="right" vertical="center"/>
    </x:xf>
    <x:xf numFmtId="203" fontId="1" fillId="0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horizontal="right" vertical="center"/>
    </x:xf>
    <x:xf numFmtId="201" fontId="1" fillId="0" borderId="0" xfId="0" applyNumberFormat="1" applyFont="1" applyFill="1" applyBorder="1" applyAlignment="1">
      <x:alignment vertical="center"/>
    </x:xf>
    <x:xf numFmtId="201" fontId="6" fillId="0" borderId="0" xfId="0" applyNumberFormat="1" applyFont="1" applyFill="1" applyBorder="1" applyAlignment="1">
      <x:alignment vertical="center"/>
    </x:xf>
    <x:xf numFmtId="201" fontId="6" fillId="0" borderId="2" xfId="0" applyNumberFormat="1" applyFont="1" applyFill="1" applyBorder="1" applyAlignment="1">
      <x:alignment vertical="center"/>
    </x:xf>
    <x:xf numFmtId="203" fontId="6" fillId="0" borderId="0" xfId="0" applyNumberFormat="1" applyFont="1" applyFill="1" applyBorder="1" applyAlignment="1">
      <x:alignment vertical="center"/>
    </x:xf>
    <x:xf numFmtId="203" fontId="6" fillId="0" borderId="0" xfId="0" applyNumberFormat="1" applyFont="1" applyFill="1" applyBorder="1" applyAlignment="1">
      <x:alignment horizontal="right" vertical="center"/>
    </x:xf>
    <x:xf numFmtId="203" fontId="6" fillId="0" borderId="2" xfId="0" applyNumberFormat="1" applyFont="1" applyFill="1" applyBorder="1" applyAlignment="1">
      <x:alignment vertical="center"/>
    </x:xf>
    <x:xf numFmtId="203" fontId="6" fillId="0" borderId="2" xfId="0" applyNumberFormat="1" applyFont="1" applyFill="1" applyBorder="1" applyAlignment="1">
      <x:alignment horizontal="right" vertical="center"/>
    </x:xf>
    <x:xf numFmtId="203" fontId="6" fillId="3" borderId="2" xfId="0" applyNumberFormat="1" applyFont="1" applyFill="1" applyBorder="1" applyAlignment="1">
      <x:alignment vertical="center"/>
    </x:xf>
    <x:xf numFmtId="203" fontId="6" fillId="3" borderId="2" xfId="0" applyNumberFormat="1" applyFont="1" applyFill="1" applyBorder="1" applyAlignment="1">
      <x:alignment horizontal="right" vertical="center"/>
    </x:xf>
    <x:xf numFmtId="0" fontId="6" fillId="0" borderId="2" xfId="0" applyNumberFormat="1" applyFont="1" applyFill="1" applyBorder="1" applyAlignment="1">
      <x:alignment horizontal="left" vertical="center"/>
    </x:xf>
    <x:xf numFmtId="200" fontId="6" fillId="0" borderId="2" xfId="0" applyNumberFormat="1" applyFont="1" applyFill="1" applyBorder="1" applyAlignment="1">
      <x:alignment horizontal="left" vertical="center"/>
    </x:xf>
    <x:xf numFmtId="204" fontId="9" fillId="0" borderId="0" xfId="0" applyNumberFormat="1" applyFont="1" applyFill="1" applyBorder="1" applyAlignment="1">
      <x:alignment horizontal="right" vertical="center"/>
    </x:xf>
    <x:xf numFmtId="204" fontId="1" fillId="0" borderId="0" xfId="0" applyNumberFormat="1" applyFont="1" applyFill="1" applyBorder="1" applyAlignment="1">
      <x:alignment horizontal="right" vertical="center"/>
    </x:xf>
    <x:xf numFmtId="205" fontId="1" fillId="0" borderId="0" xfId="0" applyNumberFormat="1" applyFont="1" applyFill="1" applyBorder="1" applyAlignment="1">
      <x:alignment horizontal="right" vertical="center"/>
    </x:xf>
  </x:cellXfs>
  <x:cellStyles count="1">
    <x:cellStyle name="Normal" xfId="0"/>
  </x:cellStyles>
  <x:dxfs count="1">
    <x:dxf>
      <x:font>
        <x:b/>
        <x:color rgb="FFAA2222"/>
      </x:font>
      <x:fill>
        <x:patternFill patternType="solid">
          <x:bgColor rgb="FFFCE3D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32acb8293e43e8" /><Relationship Type="http://schemas.openxmlformats.org/officeDocument/2006/relationships/theme" Target="/xl/theme/theme1.xml" Id="R4eba6e8f0c114a46" /><Relationship Type="http://schemas.openxmlformats.org/officeDocument/2006/relationships/sharedStrings" Target="/xl/sharedStrings.xml" Id="R34420ca0607a484b" /><Relationship Type="http://schemas.openxmlformats.org/officeDocument/2006/relationships/worksheet" Target="/xl/worksheets/sheet1.xml" Id="Re35fd25a29474815" /><Relationship Type="http://schemas.openxmlformats.org/officeDocument/2006/relationships/worksheet" Target="/xl/worksheets/sheet2.xml" Id="Rd09c922f5a044775" /><Relationship Type="http://schemas.openxmlformats.org/officeDocument/2006/relationships/worksheet" Target="/xl/worksheets/sheet3.xml" Id="Rf4a2d519d6ea4561" /><Relationship Type="http://schemas.openxmlformats.org/officeDocument/2006/relationships/worksheet" Target="/xl/worksheets/sheet4.xml" Id="R01e63c66e36c496d" /><Relationship Type="http://schemas.openxmlformats.org/officeDocument/2006/relationships/worksheet" Target="/xl/worksheets/sheet5.xml" Id="Rb3e2347f9715447c" /><Relationship Type="http://schemas.openxmlformats.org/officeDocument/2006/relationships/worksheet" Target="/xl/worksheets/sheet6.xml" Id="R1a5bc8b9ae384f46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0e604a41886e4193" /><Relationship Type="http://schemas.openxmlformats.org/officeDocument/2006/relationships/chart" Target="/xl/drawings/charts/chart2.xml" Id="Rd915fd93f94243c2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1050">
                <a:latin typeface="Arial"/>
                <a:ea typeface="Arial"/>
                <a:cs typeface="Arial"/>
              </a:rPr>
              <a:t>Free cash flow by scenario ($m)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1050">
              <a:latin typeface="Arial"/>
              <a:ea typeface="Arial"/>
              <a:cs typeface="Arial"/>
            </a:defRPr>
          </a:pPr>
        </a:p>
      </c:txPr>
    </c:title>
    <c:plotArea>
      <c:lineChart>
        <c:grouping val="standard"/>
        <c:varyColors val="0"/>
        <c:ser>
          <c:idx val="0"/>
          <c:order val="0"/>
          <c:tx>
            <c:v>Bear</c:v>
          </c:tx>
          <c:spPr>
            <a:solidFill xmlns:a="http://schemas.openxmlformats.org/drawingml/2006/main">
              <a:srgbClr val="A86243"/>
            </a:solidFill>
            <a:ln xmlns:a="http://schemas.openxmlformats.org/drawingml/2006/main" w="23813">
              <a:solidFill>
                <a:srgbClr val="A86243"/>
              </a:solidFill>
              <a:prstDash val="solid"/>
            </a:ln>
          </c:spPr>
          <c:marker>
            <c:symbol val="none"/>
          </c:marker>
          <c:cat>
            <c:strRef>
              <c:f>'Summary'!$C$26:$C$31</c:f>
              <c:strCache>
                <c:ptCount val="0"/>
              </c:strCache>
            </c:strRef>
          </c:cat>
          <c:val>
            <c:numRef>
              <c:f>'Summary'!$D$26:$D$31</c:f>
              <c:numCache>
                <c:formatCode>#,##0</c:formatCode>
                <c:ptCount val="0"/>
              </c:numCache>
            </c:numRef>
          </c:val>
          <c:smooth val="0"/>
        </c:ser>
        <c:ser>
          <c:idx val="1"/>
          <c:order val="1"/>
          <c:tx>
            <c:v>Base</c:v>
          </c:tx>
          <c:spPr>
            <a:solidFill xmlns:a="http://schemas.openxmlformats.org/drawingml/2006/main">
              <a:srgbClr val="303E4A"/>
            </a:solidFill>
            <a:ln xmlns:a="http://schemas.openxmlformats.org/drawingml/2006/main" w="23813">
              <a:solidFill>
                <a:srgbClr val="303E4A"/>
              </a:solidFill>
              <a:prstDash val="solid"/>
            </a:ln>
          </c:spPr>
          <c:marker>
            <c:symbol val="none"/>
          </c:marker>
          <c:cat>
            <c:strRef>
              <c:f>'Summary'!$C$26:$C$31</c:f>
              <c:strCache>
                <c:ptCount val="0"/>
              </c:strCache>
            </c:strRef>
          </c:cat>
          <c:val>
            <c:numRef>
              <c:f>'Summary'!$E$26:$E$31</c:f>
              <c:numCache>
                <c:formatCode>#,##0.0;(#,##0.0);"–"</c:formatCode>
                <c:ptCount val="0"/>
              </c:numCache>
            </c:numRef>
          </c:val>
          <c:smooth val="0"/>
        </c:ser>
        <c:ser>
          <c:idx val="2"/>
          <c:order val="2"/>
          <c:tx>
            <c:v>Bull</c:v>
          </c:tx>
          <c:spPr>
            <a:solidFill xmlns:a="http://schemas.openxmlformats.org/drawingml/2006/main">
              <a:srgbClr val="427E83"/>
            </a:solidFill>
            <a:ln xmlns:a="http://schemas.openxmlformats.org/drawingml/2006/main" w="23813">
              <a:solidFill>
                <a:srgbClr val="427E83"/>
              </a:solidFill>
              <a:prstDash val="solid"/>
            </a:ln>
          </c:spPr>
          <c:marker>
            <c:symbol val="none"/>
          </c:marker>
          <c:cat>
            <c:strRef>
              <c:f>'Summary'!$C$26:$C$31</c:f>
              <c:strCache>
                <c:ptCount val="0"/>
              </c:strCache>
            </c:strRef>
          </c:cat>
          <c:val>
            <c:numRef>
              <c:f>'Summary'!$F$26:$F$31</c:f>
              <c:numCache>
                <c:formatCode>#,##0.0;(#,##0.0);"–"</c:formatCode>
                <c:ptCount val="0"/>
              </c:numCache>
            </c:numRef>
          </c:val>
          <c:smooth val="0"/>
        </c:ser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825"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#,##0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825"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legend>
      <c:legendPos val="b"/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825">
              <a:latin typeface="Arial"/>
              <a:ea typeface="Arial"/>
              <a:cs typeface="Arial"/>
            </a:defRPr>
          </a:pPr>
        </a:p>
      </c:txPr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1050">
                <a:latin typeface="Arial"/>
                <a:ea typeface="Arial"/>
                <a:cs typeface="Arial"/>
              </a:rPr>
              <a:t>FY2030 earnings per share ($)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1050">
              <a:latin typeface="Arial"/>
              <a:ea typeface="Arial"/>
              <a:cs typeface="Arial"/>
            </a:defRPr>
          </a:pPr>
        </a:p>
      </c:txPr>
    </c:title>
    <c:plotArea>
      <c:barChart>
        <c:barDir val="col"/>
        <c:varyColors val="0"/>
        <c:ser>
          <c:idx val="0"/>
          <c:order val="0"/>
          <c:tx>
            <c:v>Diluted EPS</c:v>
          </c:tx>
          <c:spPr>
            <a:solidFill xmlns:a="http://schemas.openxmlformats.org/drawingml/2006/main">
              <a:srgbClr val="303E4A"/>
            </a:solidFill>
          </c:spPr>
          <c:cat>
            <c:strRef>
              <c:f>'Summary'!$C$57:$C$59</c:f>
              <c:strCache>
                <c:ptCount val="0"/>
              </c:strCache>
            </c:strRef>
          </c:cat>
          <c:val>
            <c:numRef>
              <c:f>'Summary'!$D$57:$D$59</c:f>
              <c:numCache>
                <c:formatCode>0.00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825"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.00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825"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7</xdr:col>
      <xdr:colOff>0</xdr:colOff>
      <xdr:row>6</xdr:row>
      <xdr:rowOff>0</xdr:rowOff>
    </xdr:from>
    <xdr:to>
      <xdr:col>15</xdr:col>
      <xdr:colOff>0</xdr:colOff>
      <xdr:row>22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0e604a41886e4193"/>
        </a:graphicData>
      </a:graphic>
    </xdr:graphicFrame>
    <xdr:clientData/>
  </xdr:twoCellAnchor>
  <xdr:twoCellAnchor>
    <xdr:from>
      <xdr:col>7</xdr:col>
      <xdr:colOff>0</xdr:colOff>
      <xdr:row>24</xdr:row>
      <xdr:rowOff>0</xdr:rowOff>
    </xdr:from>
    <xdr:to>
      <xdr:col>15</xdr:col>
      <xdr:colOff>0</xdr:colOff>
      <xdr:row>41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d915fd93f94243c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a92c6a44c50241c3" /></Relationships>
</file>

<file path=xl/worksheets/sheet1.xml><?xml version="1.0" encoding="utf-8"?>
<x:worksheet xmlns:x="http://schemas.openxmlformats.org/spreadsheetml/2006/main">
  <x:sheetPr>
    <x:tabColor rgb="FF242321"/>
  </x:sheetPr>
  <x:sheetViews>
    <x:sheetView showGridLines="0" workbookViewId="0"/>
  </x:sheetViews>
  <x:sheetFormatPr defaultRowHeight="15"/>
  <x:cols>
    <x:col min="1" max="1" width="2.200000047683716" hidden="0" customWidth="1"/>
    <x:col min="2" max="2" width="2.200000047683716" hidden="0" customWidth="1"/>
    <x:col min="3" max="3" width="35" hidden="0" customWidth="1"/>
    <x:col min="4" max="4" width="14" hidden="0" customWidth="1"/>
    <x:col min="5" max="5" width="13" hidden="0" customWidth="1"/>
    <x:col min="6" max="6" width="13" hidden="0" customWidth="1"/>
    <x:col min="7" max="7" width="3" hidden="0" customWidth="1"/>
    <x:col min="8" max="8" width="13" hidden="0" customWidth="1"/>
    <x:col min="9" max="9" width="13" hidden="0" customWidth="1"/>
    <x:col min="10" max="10" width="13" hidden="0" customWidth="1"/>
    <x:col min="11" max="11" width="13" hidden="0" customWidth="1"/>
    <x:col min="12" max="12" width="3" hidden="0" customWidth="1"/>
    <x:col min="13" max="13" width="17" hidden="0" customWidth="1"/>
    <x:col min="14" max="14" width="17" hidden="0" customWidth="1"/>
    <x:col min="15" max="15" width="17" hidden="0" customWidth="1"/>
  </x:cols>
  <x:sheetData>
    <x:row r="1" ht="22" customHeight="1">
      <x:c r="A1" s="2"/>
      <x:c r="B1" s="2"/>
      <x:c r="C1" s="2"/>
      <x:c r="D1" s="2"/>
      <x:c r="E1" s="4"/>
      <x:c r="F1" s="4"/>
      <x:c r="G1" s="4"/>
      <x:c r="H1" s="4"/>
      <x:c r="I1" s="4"/>
      <x:c r="J1" s="4"/>
      <x:c r="K1" s="4"/>
      <x:c r="L1" s="2"/>
      <x:c r="M1" s="2"/>
      <x:c r="N1" s="2"/>
      <x:c r="O1" s="2"/>
    </x:row>
    <x:row r="2" ht="24" customHeight="1">
      <x:c r="A2" s="2"/>
      <x:c r="B2" s="2"/>
      <x:c r="C2" s="9" t="str">
        <x:v>Fastenal · growth, earnings and cash</x:v>
      </x:c>
      <x:c r="D2" s="9" t="str">
        <x:v>Fastenal · growth, earnings and cash</x:v>
      </x:c>
      <x:c r="E2" s="10" t="str">
        <x:v>Fastenal · growth, earnings and cash</x:v>
      </x:c>
      <x:c r="F2" s="10" t="str">
        <x:v>Fastenal · growth, earnings and cash</x:v>
      </x:c>
      <x:c r="G2" s="10" t="str">
        <x:v>Fastenal · growth, earnings and cash</x:v>
      </x:c>
      <x:c r="H2" s="10" t="str">
        <x:v>Fastenal · growth, earnings and cash</x:v>
      </x:c>
      <x:c r="I2" s="10" t="str">
        <x:v>Fastenal · growth, earnings and cash</x:v>
      </x:c>
      <x:c r="J2" s="10" t="str">
        <x:v>Fastenal · growth, earnings and cash</x:v>
      </x:c>
      <x:c r="K2" s="10" t="str">
        <x:v>Fastenal · growth, earnings and cash</x:v>
      </x:c>
      <x:c r="L2" s="9" t="str">
        <x:v>Fastenal · growth, earnings and cash</x:v>
      </x:c>
      <x:c r="M2" s="9" t="str">
        <x:v>Fastenal · growth, earnings and cash</x:v>
      </x:c>
      <x:c r="N2" s="9" t="str">
        <x:v>Fastenal · growth, earnings and cash</x:v>
      </x:c>
      <x:c r="O2" s="9" t="str">
        <x:v>Fastenal · growth, earnings and cash</x:v>
      </x:c>
    </x:row>
    <x:row r="3" ht="22" customHeight="1">
      <x:c r="A3" s="2"/>
      <x:c r="B3" s="2"/>
      <x:c r="C3" s="5"/>
      <x:c r="D3" s="5"/>
      <x:c r="E3" s="6"/>
      <x:c r="F3" s="6"/>
      <x:c r="G3" s="6"/>
      <x:c r="H3" s="6"/>
      <x:c r="I3" s="6"/>
      <x:c r="J3" s="6"/>
      <x:c r="K3" s="6"/>
      <x:c r="L3" s="2"/>
      <x:c r="M3" s="2"/>
      <x:c r="N3" s="2"/>
      <x:c r="O3" s="2"/>
    </x:row>
    <x:row r="4" ht="24" customHeight="1">
      <x:c r="A4" s="2"/>
      <x:c r="B4" s="2"/>
      <x:c r="C4" s="13" t="str">
        <x:v>FY2025 reported base · FY2026–FY2030 illustrative scenarios · USD millions, except EPS</x:v>
      </x:c>
      <x:c r="D4" s="13" t="str">
        <x:v>FY2025 reported base · FY2026–FY2030 illustrative scenarios · USD millions, except EPS</x:v>
      </x:c>
      <x:c r="E4" s="14" t="str">
        <x:v>FY2025 reported base · FY2026–FY2030 illustrative scenarios · USD millions, except EPS</x:v>
      </x:c>
      <x:c r="F4" s="14" t="str">
        <x:v>FY2025 reported base · FY2026–FY2030 illustrative scenarios · USD millions, except EPS</x:v>
      </x:c>
      <x:c r="G4" s="14" t="str">
        <x:v>FY2025 reported base · FY2026–FY2030 illustrative scenarios · USD millions, except EPS</x:v>
      </x:c>
      <x:c r="H4" s="14" t="str">
        <x:v>FY2025 reported base · FY2026–FY2030 illustrative scenarios · USD millions, except EPS</x:v>
      </x:c>
      <x:c r="I4" s="14" t="str">
        <x:v>FY2025 reported base · FY2026–FY2030 illustrative scenarios · USD millions, except EPS</x:v>
      </x:c>
      <x:c r="J4" s="14" t="str">
        <x:v>FY2025 reported base · FY2026–FY2030 illustrative scenarios · USD millions, except EPS</x:v>
      </x:c>
      <x:c r="K4" s="14" t="str">
        <x:v>FY2025 reported base · FY2026–FY2030 illustrative scenarios · USD millions, except EPS</x:v>
      </x:c>
      <x:c r="L4" s="13" t="str">
        <x:v>FY2025 reported base · FY2026–FY2030 illustrative scenarios · USD millions, except EPS</x:v>
      </x:c>
      <x:c r="M4" s="13" t="str">
        <x:v>FY2025 reported base · FY2026–FY2030 illustrative scenarios · USD millions, except EPS</x:v>
      </x:c>
      <x:c r="N4" s="13" t="str">
        <x:v>FY2025 reported base · FY2026–FY2030 illustrative scenarios · USD millions, except EPS</x:v>
      </x:c>
      <x:c r="O4" s="13" t="str">
        <x:v>FY2025 reported base · FY2026–FY2030 illustrative scenarios · USD millions, except EPS</x:v>
      </x:c>
    </x:row>
    <x:row r="5" ht="22" customHeight="1">
      <x:c r="A5" s="2"/>
      <x:c r="B5" s="2"/>
      <x:c r="C5" s="2"/>
      <x:c r="D5" s="2"/>
      <x:c r="E5" s="4"/>
      <x:c r="F5" s="4"/>
      <x:c r="G5" s="4"/>
      <x:c r="H5" s="4"/>
      <x:c r="I5" s="4"/>
      <x:c r="J5" s="4"/>
      <x:c r="K5" s="4"/>
      <x:c r="L5" s="2"/>
      <x:c r="M5" s="2"/>
      <x:c r="N5" s="2"/>
      <x:c r="O5" s="2"/>
    </x:row>
    <x:row r="6" ht="22" customHeight="1">
      <x:c r="A6" s="2"/>
      <x:c r="B6" s="2"/>
      <x:c r="C6" s="2"/>
      <x:c r="D6" s="2"/>
      <x:c r="E6" s="4"/>
      <x:c r="F6" s="4"/>
      <x:c r="G6" s="4"/>
      <x:c r="H6" s="4"/>
      <x:c r="I6" s="4"/>
      <x:c r="J6" s="4"/>
      <x:c r="K6" s="4"/>
      <x:c r="L6" s="2"/>
      <x:c r="M6" s="2"/>
      <x:c r="N6" s="2"/>
      <x:c r="O6" s="2"/>
    </x:row>
    <x:row r="7" ht="27" customHeight="1">
      <x:c r="A7" s="2"/>
      <x:c r="B7" s="2"/>
      <x:c r="C7" s="19" t="str">
        <x:v>FY2030 outcome</x:v>
      </x:c>
      <x:c r="D7" s="19" t="str">
        <x:v>Bear</x:v>
      </x:c>
      <x:c r="E7" s="20" t="str">
        <x:v>Base</x:v>
      </x:c>
      <x:c r="F7" s="20" t="str">
        <x:v>Bull</x:v>
      </x:c>
      <x:c r="G7" s="4"/>
      <x:c r="H7" s="4"/>
      <x:c r="I7" s="4"/>
      <x:c r="J7" s="4"/>
      <x:c r="K7" s="4"/>
      <x:c r="L7" s="2"/>
      <x:c r="M7" s="2"/>
      <x:c r="N7" s="2"/>
      <x:c r="O7" s="2"/>
    </x:row>
    <x:row r="8" ht="22" customHeight="1">
      <x:c r="A8" s="2"/>
      <x:c r="B8" s="2"/>
      <x:c r="C8" s="2" t="str">
        <x:v>Revenue</x:v>
      </x:c>
      <x:c r="D8" s="65" t="n">
        <x:f>'Model'!K9</x:f>
        <x:v>11056.564366848002</x:v>
      </x:c>
      <x:c r="E8" s="66" t="n">
        <x:f>'Model'!K97</x:f>
        <x:v>13074.102285552008</x:v>
      </x:c>
      <x:c r="F8" s="66" t="n">
        <x:f>'Model'!K185</x:f>
        <x:v>14573.044914120002</x:v>
      </x:c>
      <x:c r="G8" s="4"/>
      <x:c r="H8" s="4"/>
      <x:c r="I8" s="4"/>
      <x:c r="J8" s="4"/>
      <x:c r="K8" s="4"/>
      <x:c r="L8" s="2"/>
      <x:c r="M8" s="2"/>
      <x:c r="N8" s="2"/>
      <x:c r="O8" s="2"/>
    </x:row>
    <x:row r="9" ht="22" customHeight="1">
      <x:c r="A9" s="2"/>
      <x:c r="B9" s="2"/>
      <x:c r="C9" s="2" t="str">
        <x:v>Revenue CAGR</x:v>
      </x:c>
      <x:c r="D9" s="63" t="n">
        <x:f>'Model'!K81</x:f>
        <x:v>0.06158793259124584</x:v>
      </x:c>
      <x:c r="E9" s="44" t="n">
        <x:f>'Model'!K169</x:f>
        <x:v>0.09777745911626368</x:v>
      </x:c>
      <x:c r="F9" s="44" t="n">
        <x:f>'Model'!K257</x:f>
        <x:v>0.12186860354974627</x:v>
      </x:c>
      <x:c r="G9" s="4"/>
      <x:c r="H9" s="4"/>
      <x:c r="I9" s="4"/>
      <x:c r="J9" s="4"/>
      <x:c r="K9" s="4"/>
      <x:c r="L9" s="2"/>
      <x:c r="M9" s="2"/>
      <x:c r="N9" s="2"/>
      <x:c r="O9" s="2"/>
    </x:row>
    <x:row r="10" ht="22" customHeight="1">
      <x:c r="A10" s="2"/>
      <x:c r="B10" s="2"/>
      <x:c r="C10" s="2" t="str">
        <x:v>Gross margin</x:v>
      </x:c>
      <x:c r="D10" s="63" t="n">
        <x:f>'Model'!K14</x:f>
        <x:v>0.435</x:v>
      </x:c>
      <x:c r="E10" s="44" t="n">
        <x:f>'Model'!K102</x:f>
        <x:v>0.444</x:v>
      </x:c>
      <x:c r="F10" s="44" t="n">
        <x:f>'Model'!K190</x:f>
        <x:v>0.451</x:v>
      </x:c>
      <x:c r="G10" s="4"/>
      <x:c r="H10" s="4"/>
      <x:c r="I10" s="4"/>
      <x:c r="J10" s="4"/>
      <x:c r="K10" s="4"/>
      <x:c r="L10" s="2"/>
      <x:c r="M10" s="2"/>
      <x:c r="N10" s="2"/>
      <x:c r="O10" s="2"/>
    </x:row>
    <x:row r="11" ht="22" customHeight="1">
      <x:c r="A11" s="2"/>
      <x:c r="B11" s="2"/>
      <x:c r="C11" s="2" t="str">
        <x:v>SG&amp;A / revenue</x:v>
      </x:c>
      <x:c r="D11" s="63" t="n">
        <x:f>'Model'!K16</x:f>
        <x:v>0.241</x:v>
      </x:c>
      <x:c r="E11" s="44" t="n">
        <x:f>'Model'!K104</x:f>
        <x:v>0.231</x:v>
      </x:c>
      <x:c r="F11" s="44" t="n">
        <x:f>'Model'!K192</x:f>
        <x:v>0.222</x:v>
      </x:c>
      <x:c r="G11" s="4"/>
      <x:c r="H11" s="4"/>
      <x:c r="I11" s="4"/>
      <x:c r="J11" s="4"/>
      <x:c r="K11" s="4"/>
      <x:c r="L11" s="2"/>
      <x:c r="M11" s="2"/>
      <x:c r="N11" s="2"/>
      <x:c r="O11" s="2"/>
    </x:row>
    <x:row r="12" ht="22" customHeight="1">
      <x:c r="A12" s="2"/>
      <x:c r="B12" s="2"/>
      <x:c r="C12" s="2" t="str">
        <x:v>Operating margin</x:v>
      </x:c>
      <x:c r="D12" s="63" t="n">
        <x:f>'Model'!K25</x:f>
        <x:v>0.19399999999999998</x:v>
      </x:c>
      <x:c r="E12" s="44" t="n">
        <x:f>'Model'!K113</x:f>
        <x:v>0.213</x:v>
      </x:c>
      <x:c r="F12" s="44" t="n">
        <x:f>'Model'!K201</x:f>
        <x:v>0.229</x:v>
      </x:c>
      <x:c r="G12" s="4"/>
      <x:c r="H12" s="4"/>
      <x:c r="I12" s="4"/>
      <x:c r="J12" s="4"/>
      <x:c r="K12" s="4"/>
      <x:c r="L12" s="2"/>
      <x:c r="M12" s="2"/>
      <x:c r="N12" s="2"/>
      <x:c r="O12" s="2"/>
    </x:row>
    <x:row r="13" ht="22" customHeight="1">
      <x:c r="A13" s="2"/>
      <x:c r="B13" s="2"/>
      <x:c r="C13" s="49" t="str">
        <x:v>Diluted EPS</x:v>
      </x:c>
      <x:c r="D13" s="69" t="n">
        <x:f>'Model'!K24</x:f>
        <x:v>1.4056231612420114</x:v>
      </x:c>
      <x:c r="E13" s="55" t="n">
        <x:f>'Model'!K112</x:f>
        <x:v>1.8248974233132482</x:v>
      </x:c>
      <x:c r="F13" s="55" t="n">
        <x:f>'Model'!K200</x:f>
        <x:v>2.1869193230848643</x:v>
      </x:c>
      <x:c r="G13" s="4"/>
      <x:c r="H13" s="4"/>
      <x:c r="I13" s="4"/>
      <x:c r="J13" s="4"/>
      <x:c r="K13" s="4"/>
      <x:c r="L13" s="2"/>
      <x:c r="M13" s="2"/>
      <x:c r="N13" s="2"/>
      <x:c r="O13" s="2"/>
    </x:row>
    <x:row r="14" ht="22" customHeight="1">
      <x:c r="A14" s="2"/>
      <x:c r="B14" s="2"/>
      <x:c r="C14" s="2" t="str">
        <x:v>Operating cash flow</x:v>
      </x:c>
      <x:c r="D14" s="65" t="n">
        <x:f>'Model'!K61</x:f>
        <x:v>1690.183803429841</x:v>
      </x:c>
      <x:c r="E14" s="66" t="n">
        <x:f>'Model'!K149</x:f>
        <x:v>2155.958218234838</x:v>
      </x:c>
      <x:c r="F14" s="66" t="n">
        <x:f>'Model'!K237</x:f>
        <x:v>2566.6997308093855</x:v>
      </x:c>
      <x:c r="G14" s="4"/>
      <x:c r="H14" s="4"/>
      <x:c r="I14" s="4"/>
      <x:c r="J14" s="4"/>
      <x:c r="K14" s="4"/>
      <x:c r="L14" s="2"/>
      <x:c r="M14" s="2"/>
      <x:c r="N14" s="2"/>
      <x:c r="O14" s="2"/>
    </x:row>
    <x:row r="15" ht="22" customHeight="1">
      <x:c r="A15" s="2"/>
      <x:c r="B15" s="2"/>
      <x:c r="C15" s="2" t="str">
        <x:v>Net capex</x:v>
      </x:c>
      <x:c r="D15" s="65" t="n">
        <x:f>'Model'!K53</x:f>
        <x:v>333.9082438788097</x:v>
      </x:c>
      <x:c r="E15" s="66" t="n">
        <x:f>'Model'!K141</x:f>
        <x:v>368.6896844525666</x:v>
      </x:c>
      <x:c r="F15" s="66" t="n">
        <x:f>'Model'!K229</x:f>
        <x:v>425.5329114923041</x:v>
      </x:c>
      <x:c r="G15" s="4"/>
      <x:c r="H15" s="4"/>
      <x:c r="I15" s="4"/>
      <x:c r="J15" s="4"/>
      <x:c r="K15" s="4"/>
      <x:c r="L15" s="2"/>
      <x:c r="M15" s="2"/>
      <x:c r="N15" s="2"/>
      <x:c r="O15" s="2"/>
    </x:row>
    <x:row r="16" ht="22" customHeight="1">
      <x:c r="A16" s="2"/>
      <x:c r="B16" s="2"/>
      <x:c r="C16" s="56" t="str">
        <x:v>Free cash flow</x:v>
      </x:c>
      <x:c r="D16" s="74" t="n">
        <x:f>'Model'!K63</x:f>
        <x:v>1356.2755595510312</x:v>
      </x:c>
      <x:c r="E16" s="75" t="n">
        <x:f>'Model'!K151</x:f>
        <x:v>1787.2685337822716</x:v>
      </x:c>
      <x:c r="F16" s="75" t="n">
        <x:f>'Model'!K239</x:f>
        <x:v>2141.1668193170813</x:v>
      </x:c>
      <x:c r="G16" s="4"/>
      <x:c r="H16" s="4"/>
      <x:c r="I16" s="4"/>
      <x:c r="J16" s="4"/>
      <x:c r="K16" s="4"/>
      <x:c r="L16" s="2"/>
      <x:c r="M16" s="2"/>
      <x:c r="N16" s="2"/>
      <x:c r="O16" s="2"/>
    </x:row>
    <x:row r="17" ht="22" customHeight="1">
      <x:c r="A17" s="2"/>
      <x:c r="B17" s="2"/>
      <x:c r="C17" s="2" t="str">
        <x:v>FCF / net income</x:v>
      </x:c>
      <x:c r="D17" s="63" t="n">
        <x:f>'Model'!K64</x:f>
        <x:v>0.8385996201909596</x:v>
      </x:c>
      <x:c r="E17" s="44" t="n">
        <x:f>'Model'!K152</x:f>
        <x:v>0.8511909190276356</x:v>
      </x:c>
      <x:c r="F17" s="44" t="n">
        <x:f>'Model'!K240</x:f>
        <x:v>0.8509290945444107</x:v>
      </x:c>
      <x:c r="G17" s="4"/>
      <x:c r="H17" s="4"/>
      <x:c r="I17" s="4"/>
      <x:c r="J17" s="4"/>
      <x:c r="K17" s="4"/>
      <x:c r="L17" s="2"/>
      <x:c r="M17" s="2"/>
      <x:c r="N17" s="2"/>
      <x:c r="O17" s="2"/>
    </x:row>
    <x:row r="18" ht="22" customHeight="1">
      <x:c r="A18" s="2"/>
      <x:c r="B18" s="2"/>
      <x:c r="C18" s="2"/>
      <x:c r="D18" s="2"/>
      <x:c r="E18" s="4"/>
      <x:c r="F18" s="4"/>
      <x:c r="G18" s="4"/>
      <x:c r="H18" s="4"/>
      <x:c r="I18" s="4"/>
      <x:c r="J18" s="4"/>
      <x:c r="K18" s="4"/>
      <x:c r="L18" s="2"/>
      <x:c r="M18" s="2"/>
      <x:c r="N18" s="2"/>
      <x:c r="O18" s="2"/>
    </x:row>
    <x:row r="19" ht="22" customHeight="1">
      <x:c r="A19" s="2"/>
      <x:c r="B19" s="2"/>
      <x:c r="C19" s="49" t="str">
        <x:v>FY2026–30 cumulative FCF</x:v>
      </x:c>
      <x:c r="D19" s="72" t="n">
        <x:f>'Model'!K66</x:f>
        <x:v>5783.423954680447</x:v>
      </x:c>
      <x:c r="E19" s="73" t="n">
        <x:f>'Model'!K154</x:f>
        <x:v>7177.928087875177</x:v>
      </x:c>
      <x:c r="F19" s="73" t="n">
        <x:f>'Model'!K242</x:f>
        <x:v>8089.884861869177</x:v>
      </x:c>
      <x:c r="G19" s="4"/>
      <x:c r="H19" s="4"/>
      <x:c r="I19" s="4"/>
      <x:c r="J19" s="4"/>
      <x:c r="K19" s="4"/>
      <x:c r="L19" s="2"/>
      <x:c r="M19" s="2"/>
      <x:c r="N19" s="2"/>
      <x:c r="O19" s="2"/>
    </x:row>
    <x:row r="20" ht="22" customHeight="1">
      <x:c r="A20" s="2"/>
      <x:c r="B20" s="2"/>
      <x:c r="C20" s="2"/>
      <x:c r="D20" s="2"/>
      <x:c r="E20" s="4"/>
      <x:c r="F20" s="4"/>
      <x:c r="G20" s="4"/>
      <x:c r="H20" s="4"/>
      <x:c r="I20" s="4"/>
      <x:c r="J20" s="4"/>
      <x:c r="K20" s="4"/>
      <x:c r="L20" s="2"/>
      <x:c r="M20" s="2"/>
      <x:c r="N20" s="2"/>
      <x:c r="O20" s="2"/>
    </x:row>
    <x:row r="21" ht="22" customHeight="1">
      <x:c r="A21" s="2"/>
      <x:c r="B21" s="2"/>
      <x:c r="C21" s="2"/>
      <x:c r="D21" s="2"/>
      <x:c r="E21" s="4"/>
      <x:c r="F21" s="4"/>
      <x:c r="G21" s="4"/>
      <x:c r="H21" s="4"/>
      <x:c r="I21" s="4"/>
      <x:c r="J21" s="4"/>
      <x:c r="K21" s="4"/>
      <x:c r="L21" s="2"/>
      <x:c r="M21" s="2"/>
      <x:c r="N21" s="2"/>
      <x:c r="O21" s="2"/>
    </x:row>
    <x:row r="22" ht="22" customHeight="1">
      <x:c r="A22" s="2"/>
      <x:c r="B22" s="2"/>
      <x:c r="C22" s="2"/>
      <x:c r="D22" s="2"/>
      <x:c r="E22" s="4"/>
      <x:c r="F22" s="4"/>
      <x:c r="G22" s="4"/>
      <x:c r="H22" s="4"/>
      <x:c r="I22" s="4"/>
      <x:c r="J22" s="4"/>
      <x:c r="K22" s="4"/>
      <x:c r="L22" s="2"/>
      <x:c r="M22" s="2"/>
      <x:c r="N22" s="2"/>
      <x:c r="O22" s="2"/>
    </x:row>
    <x:row r="23" ht="26" customHeight="1">
      <x:c r="A23" s="2"/>
      <x:c r="B23" s="2"/>
      <x:c r="C23" s="26" t="str">
        <x:v>Annual free cash flow</x:v>
      </x:c>
      <x:c r="D23" s="26" t="str">
        <x:v>Annual free cash flow</x:v>
      </x:c>
      <x:c r="E23" s="27" t="str">
        <x:v>Annual free cash flow</x:v>
      </x:c>
      <x:c r="F23" s="27" t="str">
        <x:v>Annual free cash flow</x:v>
      </x:c>
      <x:c r="G23" s="4"/>
      <x:c r="H23" s="4"/>
      <x:c r="I23" s="4"/>
      <x:c r="J23" s="4"/>
      <x:c r="K23" s="4"/>
      <x:c r="L23" s="2"/>
      <x:c r="M23" s="2"/>
      <x:c r="N23" s="2"/>
      <x:c r="O23" s="2"/>
    </x:row>
    <x:row r="24" ht="22" customHeight="1">
      <x:c r="A24" s="2"/>
      <x:c r="B24" s="2"/>
      <x:c r="C24" s="2"/>
      <x:c r="D24" s="2"/>
      <x:c r="E24" s="4"/>
      <x:c r="F24" s="4"/>
      <x:c r="G24" s="4"/>
      <x:c r="H24" s="4"/>
      <x:c r="I24" s="4"/>
      <x:c r="J24" s="4"/>
      <x:c r="K24" s="4"/>
      <x:c r="L24" s="2"/>
      <x:c r="M24" s="2"/>
      <x:c r="N24" s="2"/>
      <x:c r="O24" s="2"/>
    </x:row>
    <x:row r="25" ht="27" customHeight="1">
      <x:c r="A25" s="2"/>
      <x:c r="B25" s="2"/>
      <x:c r="C25" s="19" t="str">
        <x:v>Year</x:v>
      </x:c>
      <x:c r="D25" s="19" t="str">
        <x:v>Bear</x:v>
      </x:c>
      <x:c r="E25" s="20" t="str">
        <x:v>Base</x:v>
      </x:c>
      <x:c r="F25" s="20" t="str">
        <x:v>Bull</x:v>
      </x:c>
      <x:c r="G25" s="4"/>
      <x:c r="H25" s="4"/>
      <x:c r="I25" s="4"/>
      <x:c r="J25" s="4"/>
      <x:c r="K25" s="4"/>
      <x:c r="L25" s="2"/>
      <x:c r="M25" s="2"/>
      <x:c r="N25" s="2"/>
      <x:c r="O25" s="2"/>
    </x:row>
    <x:row r="26" ht="22" customHeight="1">
      <x:c r="A26" s="2"/>
      <x:c r="B26" s="2"/>
      <x:c r="C26" s="2" t="str">
        <x:v>FY2025 A</x:v>
      </x:c>
      <x:c r="D26" s="65" t="n">
        <x:f>'Model'!F63</x:f>
        <x:v>1065.4</x:v>
      </x:c>
      <x:c r="E26" s="66" t="n">
        <x:f>'Model'!F151</x:f>
        <x:v>1065.4</x:v>
      </x:c>
      <x:c r="F26" s="66" t="n">
        <x:f>'Model'!F239</x:f>
        <x:v>1065.4</x:v>
      </x:c>
      <x:c r="G26" s="4"/>
      <x:c r="H26" s="4"/>
      <x:c r="I26" s="4"/>
      <x:c r="J26" s="4"/>
      <x:c r="K26" s="4"/>
      <x:c r="L26" s="2"/>
      <x:c r="M26" s="2"/>
      <x:c r="N26" s="2"/>
      <x:c r="O26" s="2"/>
    </x:row>
    <x:row r="27" ht="22" customHeight="1">
      <x:c r="A27" s="2"/>
      <x:c r="B27" s="2"/>
      <x:c r="C27" s="2" t="str">
        <x:v>FY2026 E</x:v>
      </x:c>
      <x:c r="D27" s="65" t="n">
        <x:f>'Model'!G63</x:f>
        <x:v>823.761596957808</x:v>
      </x:c>
      <x:c r="E27" s="66" t="n">
        <x:f>'Model'!G151</x:f>
        <x:v>1018.8212150087672</x:v>
      </x:c>
      <x:c r="F27" s="66" t="n">
        <x:f>'Model'!G239</x:f>
        <x:v>1097.243804986302</x:v>
      </x:c>
      <x:c r="G27" s="4"/>
      <x:c r="H27" s="4"/>
      <x:c r="I27" s="4"/>
      <x:c r="J27" s="4"/>
      <x:c r="K27" s="4"/>
      <x:c r="L27" s="2"/>
      <x:c r="M27" s="2"/>
      <x:c r="N27" s="2"/>
      <x:c r="O27" s="2"/>
    </x:row>
    <x:row r="28" ht="22" customHeight="1">
      <x:c r="A28" s="2"/>
      <x:c r="B28" s="2"/>
      <x:c r="C28" s="2" t="str">
        <x:v>FY2027 E</x:v>
      </x:c>
      <x:c r="D28" s="65" t="n">
        <x:f>'Model'!H63</x:f>
        <x:v>1094.2903599935996</x:v>
      </x:c>
      <x:c r="E28" s="66" t="n">
        <x:f>'Model'!H151</x:f>
        <x:v>1269.7534611996161</x:v>
      </x:c>
      <x:c r="F28" s="66" t="n">
        <x:f>'Model'!H239</x:f>
        <x:v>1367.8293764709852</x:v>
      </x:c>
      <x:c r="G28" s="4"/>
      <x:c r="H28" s="4"/>
      <x:c r="I28" s="4"/>
      <x:c r="J28" s="4"/>
      <x:c r="K28" s="4"/>
      <x:c r="L28" s="2"/>
      <x:c r="M28" s="2"/>
      <x:c r="N28" s="2"/>
      <x:c r="O28" s="2"/>
    </x:row>
    <x:row r="29" ht="22" customHeight="1">
      <x:c r="A29" s="2"/>
      <x:c r="B29" s="2"/>
      <x:c r="C29" s="2" t="str">
        <x:v>FY2028 E</x:v>
      </x:c>
      <x:c r="D29" s="65" t="n">
        <x:f>'Model'!I63</x:f>
        <x:v>1195.5564189502636</x:v>
      </x:c>
      <x:c r="E29" s="66" t="n">
        <x:f>'Model'!I151</x:f>
        <x:v>1477.506563266982</x:v>
      </x:c>
      <x:c r="F29" s="66" t="n">
        <x:f>'Model'!I239</x:f>
        <x:v>1624.9754977024795</x:v>
      </x:c>
      <x:c r="G29" s="4"/>
      <x:c r="H29" s="4"/>
      <x:c r="I29" s="4"/>
      <x:c r="J29" s="4"/>
      <x:c r="K29" s="4"/>
      <x:c r="L29" s="2"/>
      <x:c r="M29" s="2"/>
      <x:c r="N29" s="2"/>
      <x:c r="O29" s="2"/>
    </x:row>
    <x:row r="30" ht="22" customHeight="1">
      <x:c r="A30" s="2"/>
      <x:c r="B30" s="2"/>
      <x:c r="C30" s="2" t="str">
        <x:v>FY2029 E</x:v>
      </x:c>
      <x:c r="D30" s="65" t="n">
        <x:f>'Model'!J63</x:f>
        <x:v>1313.5400192277452</x:v>
      </x:c>
      <x:c r="E30" s="66" t="n">
        <x:f>'Model'!J151</x:f>
        <x:v>1624.57831461754</x:v>
      </x:c>
      <x:c r="F30" s="66" t="n">
        <x:f>'Model'!J239</x:f>
        <x:v>1858.6693633923296</x:v>
      </x:c>
      <x:c r="G30" s="4"/>
      <x:c r="H30" s="4"/>
      <x:c r="I30" s="4"/>
      <x:c r="J30" s="4"/>
      <x:c r="K30" s="4"/>
      <x:c r="L30" s="2"/>
      <x:c r="M30" s="2"/>
      <x:c r="N30" s="2"/>
      <x:c r="O30" s="2"/>
    </x:row>
    <x:row r="31" ht="22" customHeight="1">
      <x:c r="A31" s="2"/>
      <x:c r="B31" s="2"/>
      <x:c r="C31" s="2" t="str">
        <x:v>FY2030 E</x:v>
      </x:c>
      <x:c r="D31" s="65" t="n">
        <x:f>'Model'!K63</x:f>
        <x:v>1356.2755595510312</x:v>
      </x:c>
      <x:c r="E31" s="66" t="n">
        <x:f>'Model'!K151</x:f>
        <x:v>1787.2685337822716</x:v>
      </x:c>
      <x:c r="F31" s="66" t="n">
        <x:f>'Model'!K239</x:f>
        <x:v>2141.1668193170813</x:v>
      </x:c>
      <x:c r="G31" s="4"/>
      <x:c r="H31" s="4"/>
      <x:c r="I31" s="4"/>
      <x:c r="J31" s="4"/>
      <x:c r="K31" s="4"/>
      <x:c r="L31" s="2"/>
      <x:c r="M31" s="2"/>
      <x:c r="N31" s="2"/>
      <x:c r="O31" s="2"/>
    </x:row>
    <x:row r="32" ht="22" customHeight="1">
      <x:c r="A32" s="2"/>
      <x:c r="B32" s="2"/>
      <x:c r="C32" s="2"/>
      <x:c r="D32" s="2"/>
      <x:c r="E32" s="4"/>
      <x:c r="F32" s="4"/>
      <x:c r="G32" s="4"/>
      <x:c r="H32" s="4"/>
      <x:c r="I32" s="4"/>
      <x:c r="J32" s="4"/>
      <x:c r="K32" s="4"/>
      <x:c r="L32" s="2"/>
      <x:c r="M32" s="2"/>
      <x:c r="N32" s="2"/>
      <x:c r="O32" s="2"/>
    </x:row>
    <x:row r="33" ht="22" customHeight="1">
      <x:c r="A33" s="2"/>
      <x:c r="B33" s="2"/>
      <x:c r="C33" s="2"/>
      <x:c r="D33" s="2"/>
      <x:c r="E33" s="4"/>
      <x:c r="F33" s="4"/>
      <x:c r="G33" s="4"/>
      <x:c r="H33" s="4"/>
      <x:c r="I33" s="4"/>
      <x:c r="J33" s="4"/>
      <x:c r="K33" s="4"/>
      <x:c r="L33" s="2"/>
      <x:c r="M33" s="2"/>
      <x:c r="N33" s="2"/>
      <x:c r="O33" s="2"/>
    </x:row>
    <x:row r="34" ht="26" customHeight="1">
      <x:c r="A34" s="2"/>
      <x:c r="B34" s="2"/>
      <x:c r="C34" s="26" t="str">
        <x:v>Base case · why earnings differ from cash</x:v>
      </x:c>
      <x:c r="D34" s="26" t="str">
        <x:v>Base case · why earnings differ from cash</x:v>
      </x:c>
      <x:c r="E34" s="27" t="str">
        <x:v>Base case · why earnings differ from cash</x:v>
      </x:c>
      <x:c r="F34" s="27" t="str">
        <x:v>Base case · why earnings differ from cash</x:v>
      </x:c>
      <x:c r="G34" s="4"/>
      <x:c r="H34" s="4"/>
      <x:c r="I34" s="4"/>
      <x:c r="J34" s="4"/>
      <x:c r="K34" s="4"/>
      <x:c r="L34" s="2"/>
      <x:c r="M34" s="2"/>
      <x:c r="N34" s="2"/>
      <x:c r="O34" s="2"/>
    </x:row>
    <x:row r="35" ht="22" customHeight="1">
      <x:c r="A35" s="2"/>
      <x:c r="B35" s="2"/>
      <x:c r="C35" s="2"/>
      <x:c r="D35" s="2"/>
      <x:c r="E35" s="4"/>
      <x:c r="F35" s="4"/>
      <x:c r="G35" s="4"/>
      <x:c r="H35" s="4"/>
      <x:c r="I35" s="4"/>
      <x:c r="J35" s="4"/>
      <x:c r="K35" s="4"/>
      <x:c r="L35" s="2"/>
      <x:c r="M35" s="2"/>
      <x:c r="N35" s="2"/>
      <x:c r="O35" s="2"/>
    </x:row>
    <x:row r="36" ht="24" customHeight="1">
      <x:c r="A36" s="2"/>
      <x:c r="B36" s="2"/>
      <x:c r="C36" s="35" t="str">
        <x:v>FY2030 net income</x:v>
      </x:c>
      <x:c r="D36" s="35" t="str">
        <x:v>FY2030 net income</x:v>
      </x:c>
      <x:c r="E36" s="36" t="str">
        <x:v>FY2030 net income</x:v>
      </x:c>
      <x:c r="F36" s="66" t="n">
        <x:f>'Model'!K144</x:f>
        <x:v>2099.7269752642233</x:v>
      </x:c>
      <x:c r="G36" s="4"/>
      <x:c r="H36" s="4"/>
      <x:c r="I36" s="4"/>
      <x:c r="J36" s="4"/>
      <x:c r="K36" s="4"/>
      <x:c r="L36" s="2"/>
      <x:c r="M36" s="2"/>
      <x:c r="N36" s="2"/>
      <x:c r="O36" s="2"/>
    </x:row>
    <x:row r="37" ht="24" customHeight="1">
      <x:c r="A37" s="2"/>
      <x:c r="B37" s="2"/>
      <x:c r="C37" s="35" t="str">
        <x:v>Add D&amp;A</x:v>
      </x:c>
      <x:c r="D37" s="35" t="str">
        <x:v>Add D&amp;A</x:v>
      </x:c>
      <x:c r="E37" s="36" t="str">
        <x:v>Add D&amp;A</x:v>
      </x:c>
      <x:c r="F37" s="66" t="n">
        <x:f>'Model'!K145</x:f>
        <x:v>274.5561479965922</x:v>
      </x:c>
      <x:c r="G37" s="4"/>
      <x:c r="H37" s="4"/>
      <x:c r="I37" s="4"/>
      <x:c r="J37" s="4"/>
      <x:c r="K37" s="4"/>
      <x:c r="L37" s="2"/>
      <x:c r="M37" s="2"/>
      <x:c r="N37" s="2"/>
      <x:c r="O37" s="2"/>
    </x:row>
    <x:row r="38" ht="24" customHeight="1">
      <x:c r="A38" s="2"/>
      <x:c r="B38" s="2"/>
      <x:c r="C38" s="35" t="str">
        <x:v>Add stock compensation</x:v>
      </x:c>
      <x:c r="D38" s="35" t="str">
        <x:v>Add stock compensation</x:v>
      </x:c>
      <x:c r="E38" s="36" t="str">
        <x:v>Add stock compensation</x:v>
      </x:c>
      <x:c r="F38" s="66" t="n">
        <x:f>'Model'!K146</x:f>
        <x:v>13.074102285552009</x:v>
      </x:c>
      <x:c r="G38" s="4"/>
      <x:c r="H38" s="4"/>
      <x:c r="I38" s="4"/>
      <x:c r="J38" s="4"/>
      <x:c r="K38" s="4"/>
      <x:c r="L38" s="2"/>
      <x:c r="M38" s="2"/>
      <x:c r="N38" s="2"/>
      <x:c r="O38" s="2"/>
    </x:row>
    <x:row r="39" ht="24" customHeight="1">
      <x:c r="A39" s="2"/>
      <x:c r="B39" s="2"/>
      <x:c r="C39" s="35" t="str">
        <x:v>Working-capital cash effect</x:v>
      </x:c>
      <x:c r="D39" s="35" t="str">
        <x:v>Working-capital cash effect</x:v>
      </x:c>
      <x:c r="E39" s="36" t="str">
        <x:v>Working-capital cash effect</x:v>
      </x:c>
      <x:c r="F39" s="66" t="n">
        <x:f>'Model'!K148</x:f>
        <x:v>-231.3990073115292</x:v>
      </x:c>
      <x:c r="G39" s="4"/>
      <x:c r="H39" s="4"/>
      <x:c r="I39" s="4"/>
      <x:c r="J39" s="4"/>
      <x:c r="K39" s="4"/>
      <x:c r="L39" s="2"/>
      <x:c r="M39" s="2"/>
      <x:c r="N39" s="2"/>
      <x:c r="O39" s="2"/>
    </x:row>
    <x:row r="40" ht="24" customHeight="1">
      <x:c r="A40" s="2"/>
      <x:c r="B40" s="2"/>
      <x:c r="C40" s="35" t="str">
        <x:v>Less net capex</x:v>
      </x:c>
      <x:c r="D40" s="35" t="str">
        <x:v>Less net capex</x:v>
      </x:c>
      <x:c r="E40" s="36" t="str">
        <x:v>Less net capex</x:v>
      </x:c>
      <x:c r="F40" s="66" t="n">
        <x:f>-'Model'!K150</x:f>
        <x:v>-368.6896844525666</x:v>
      </x:c>
      <x:c r="G40" s="4"/>
      <x:c r="H40" s="4"/>
      <x:c r="I40" s="4"/>
      <x:c r="J40" s="4"/>
      <x:c r="K40" s="4"/>
      <x:c r="L40" s="2"/>
      <x:c r="M40" s="2"/>
      <x:c r="N40" s="2"/>
      <x:c r="O40" s="2"/>
    </x:row>
    <x:row r="41" ht="24" customHeight="1">
      <x:c r="A41" s="2"/>
      <x:c r="B41" s="2"/>
      <x:c r="C41" s="76" t="str">
        <x:v>FY2030 free cash flow</x:v>
      </x:c>
      <x:c r="D41" s="76" t="str">
        <x:v>FY2030 free cash flow</x:v>
      </x:c>
      <x:c r="E41" s="77" t="str">
        <x:v>FY2030 free cash flow</x:v>
      </x:c>
      <x:c r="F41" s="73" t="n">
        <x:f>'Model'!K151</x:f>
        <x:v>1787.2685337822716</x:v>
      </x:c>
      <x:c r="G41" s="4"/>
      <x:c r="H41" s="4"/>
      <x:c r="I41" s="4"/>
      <x:c r="J41" s="4"/>
      <x:c r="K41" s="4"/>
      <x:c r="L41" s="2"/>
      <x:c r="M41" s="2"/>
      <x:c r="N41" s="2"/>
      <x:c r="O41" s="2"/>
    </x:row>
    <x:row r="42" ht="22" customHeight="1">
      <x:c r="A42" s="2"/>
      <x:c r="B42" s="2"/>
      <x:c r="C42" s="2"/>
      <x:c r="D42" s="2"/>
      <x:c r="E42" s="4"/>
      <x:c r="F42" s="4"/>
      <x:c r="G42" s="4"/>
      <x:c r="H42" s="4"/>
      <x:c r="I42" s="4"/>
      <x:c r="J42" s="4"/>
      <x:c r="K42" s="4"/>
      <x:c r="L42" s="2"/>
      <x:c r="M42" s="2"/>
      <x:c r="N42" s="2"/>
      <x:c r="O42" s="2"/>
    </x:row>
    <x:row r="43" ht="22" customHeight="1">
      <x:c r="A43" s="2"/>
      <x:c r="B43" s="2"/>
      <x:c r="C43" s="2"/>
      <x:c r="D43" s="2"/>
      <x:c r="E43" s="4"/>
      <x:c r="F43" s="4"/>
      <x:c r="G43" s="4"/>
      <x:c r="H43" s="4"/>
      <x:c r="I43" s="4"/>
      <x:c r="J43" s="4"/>
      <x:c r="K43" s="4"/>
      <x:c r="L43" s="2"/>
      <x:c r="M43" s="2"/>
      <x:c r="N43" s="2"/>
      <x:c r="O43" s="2"/>
    </x:row>
    <x:row r="44" ht="26" customHeight="1">
      <x:c r="A44" s="2"/>
      <x:c r="B44" s="2"/>
      <x:c r="C44" s="26" t="str">
        <x:v>Assumptions that matter for cash</x:v>
      </x:c>
      <x:c r="D44" s="26" t="str">
        <x:v>Assumptions that matter for cash</x:v>
      </x:c>
      <x:c r="E44" s="27" t="str">
        <x:v>Assumptions that matter for cash</x:v>
      </x:c>
      <x:c r="F44" s="27" t="str">
        <x:v>Assumptions that matter for cash</x:v>
      </x:c>
      <x:c r="G44" s="27" t="str">
        <x:v>Assumptions that matter for cash</x:v>
      </x:c>
      <x:c r="H44" s="27" t="str">
        <x:v>Assumptions that matter for cash</x:v>
      </x:c>
      <x:c r="I44" s="27" t="str">
        <x:v>Assumptions that matter for cash</x:v>
      </x:c>
      <x:c r="J44" s="27" t="str">
        <x:v>Assumptions that matter for cash</x:v>
      </x:c>
      <x:c r="K44" s="27" t="str">
        <x:v>Assumptions that matter for cash</x:v>
      </x:c>
      <x:c r="L44" s="26" t="str">
        <x:v>Assumptions that matter for cash</x:v>
      </x:c>
      <x:c r="M44" s="26" t="str">
        <x:v>Assumptions that matter for cash</x:v>
      </x:c>
      <x:c r="N44" s="26" t="str">
        <x:v>Assumptions that matter for cash</x:v>
      </x:c>
      <x:c r="O44" s="26" t="str">
        <x:v>Assumptions that matter for cash</x:v>
      </x:c>
    </x:row>
    <x:row r="45" ht="22" customHeight="1">
      <x:c r="A45" s="2"/>
      <x:c r="B45" s="2"/>
      <x:c r="C45" s="2"/>
      <x:c r="D45" s="2"/>
      <x:c r="E45" s="4"/>
      <x:c r="F45" s="4"/>
      <x:c r="G45" s="4"/>
      <x:c r="H45" s="4"/>
      <x:c r="I45" s="4"/>
      <x:c r="J45" s="4"/>
      <x:c r="K45" s="4"/>
      <x:c r="L45" s="2"/>
      <x:c r="M45" s="2"/>
      <x:c r="N45" s="2"/>
      <x:c r="O45" s="2"/>
    </x:row>
    <x:row r="46" ht="24" customHeight="1">
      <x:c r="A46" s="2"/>
      <x:c r="B46" s="2"/>
      <x:c r="C46" s="35" t="str">
        <x:v>Five more receivable days</x:v>
      </x:c>
      <x:c r="D46" s="35" t="str">
        <x:v>Five more receivable days</x:v>
      </x:c>
      <x:c r="E46" s="36" t="str">
        <x:v>Five more receivable days</x:v>
      </x:c>
      <x:c r="F46" s="66" t="n">
        <x:f>'Sensitivities'!E72</x:f>
        <x:v>-179.0972915829042</x:v>
      </x:c>
      <x:c r="G46" s="4"/>
      <x:c r="H46" s="58" t="str">
        <x:v>FY2030 FCF impact, with other Base assumptions fixed. Edit the annual inputs in Assumptions; inspect the growth / margin matrix in Sensitivities.</x:v>
      </x:c>
      <x:c r="I46" s="58" t="str">
        <x:v>FY2030 FCF impact, with other Base assumptions fixed. Edit the annual inputs in Assumptions; inspect the growth / margin matrix in Sensitivities.</x:v>
      </x:c>
      <x:c r="J46" s="58" t="str">
        <x:v>FY2030 FCF impact, with other Base assumptions fixed. Edit the annual inputs in Assumptions; inspect the growth / margin matrix in Sensitivities.</x:v>
      </x:c>
      <x:c r="K46" s="58" t="str">
        <x:v>FY2030 FCF impact, with other Base assumptions fixed. Edit the annual inputs in Assumptions; inspect the growth / margin matrix in Sensitivities.</x:v>
      </x:c>
      <x:c r="L46" s="40" t="str">
        <x:v>FY2030 FCF impact, with other Base assumptions fixed. Edit the annual inputs in Assumptions; inspect the growth / margin matrix in Sensitivities.</x:v>
      </x:c>
      <x:c r="M46" s="40" t="str">
        <x:v>FY2030 FCF impact, with other Base assumptions fixed. Edit the annual inputs in Assumptions; inspect the growth / margin matrix in Sensitivities.</x:v>
      </x:c>
      <x:c r="N46" s="40" t="str">
        <x:v>FY2030 FCF impact, with other Base assumptions fixed. Edit the annual inputs in Assumptions; inspect the growth / margin matrix in Sensitivities.</x:v>
      </x:c>
      <x:c r="O46" s="40" t="str">
        <x:v>FY2030 FCF impact, with other Base assumptions fixed. Edit the annual inputs in Assumptions; inspect the growth / margin matrix in Sensitivities.</x:v>
      </x:c>
    </x:row>
    <x:row r="47" ht="24" customHeight="1">
      <x:c r="A47" s="2"/>
      <x:c r="B47" s="2"/>
      <x:c r="C47" s="35" t="str">
        <x:v>Ten more inventory days</x:v>
      </x:c>
      <x:c r="D47" s="35" t="str">
        <x:v>Ten more inventory days</x:v>
      </x:c>
      <x:c r="E47" s="36" t="str">
        <x:v>Ten more inventory days</x:v>
      </x:c>
      <x:c r="F47" s="66" t="n">
        <x:f>'Sensitivities'!E73</x:f>
        <x:v>-199.15618824018952</x:v>
      </x:c>
      <x:c r="G47" s="4"/>
      <x:c r="H47" s="58" t="str">
        <x:v>FY2030 FCF impact, with other Base assumptions fixed. Edit the annual inputs in Assumptions; inspect the growth / margin matrix in Sensitivities.</x:v>
      </x:c>
      <x:c r="I47" s="58" t="str">
        <x:v>FY2030 FCF impact, with other Base assumptions fixed. Edit the annual inputs in Assumptions; inspect the growth / margin matrix in Sensitivities.</x:v>
      </x:c>
      <x:c r="J47" s="58" t="str">
        <x:v>FY2030 FCF impact, with other Base assumptions fixed. Edit the annual inputs in Assumptions; inspect the growth / margin matrix in Sensitivities.</x:v>
      </x:c>
      <x:c r="K47" s="58" t="str">
        <x:v>FY2030 FCF impact, with other Base assumptions fixed. Edit the annual inputs in Assumptions; inspect the growth / margin matrix in Sensitivities.</x:v>
      </x:c>
      <x:c r="L47" s="40" t="str">
        <x:v>FY2030 FCF impact, with other Base assumptions fixed. Edit the annual inputs in Assumptions; inspect the growth / margin matrix in Sensitivities.</x:v>
      </x:c>
      <x:c r="M47" s="40" t="str">
        <x:v>FY2030 FCF impact, with other Base assumptions fixed. Edit the annual inputs in Assumptions; inspect the growth / margin matrix in Sensitivities.</x:v>
      </x:c>
      <x:c r="N47" s="40" t="str">
        <x:v>FY2030 FCF impact, with other Base assumptions fixed. Edit the annual inputs in Assumptions; inspect the growth / margin matrix in Sensitivities.</x:v>
      </x:c>
      <x:c r="O47" s="40" t="str">
        <x:v>FY2030 FCF impact, with other Base assumptions fixed. Edit the annual inputs in Assumptions; inspect the growth / margin matrix in Sensitivities.</x:v>
      </x:c>
    </x:row>
    <x:row r="48" ht="24" customHeight="1">
      <x:c r="A48" s="2"/>
      <x:c r="B48" s="2"/>
      <x:c r="C48" s="35" t="str">
        <x:v>100 bps more gross margin</x:v>
      </x:c>
      <x:c r="D48" s="35" t="str">
        <x:v>100 bps more gross margin</x:v>
      </x:c>
      <x:c r="E48" s="36" t="str">
        <x:v>100 bps more gross margin</x:v>
      </x:c>
      <x:c r="F48" s="66" t="n">
        <x:f>'Sensitivities'!E70</x:f>
        <x:v>135.1145787159746</x:v>
      </x:c>
      <x:c r="G48" s="4"/>
      <x:c r="H48" s="58" t="str">
        <x:v>FY2030 FCF impact, with other Base assumptions fixed. Edit the annual inputs in Assumptions; inspect the growth / margin matrix in Sensitivities.</x:v>
      </x:c>
      <x:c r="I48" s="58" t="str">
        <x:v>FY2030 FCF impact, with other Base assumptions fixed. Edit the annual inputs in Assumptions; inspect the growth / margin matrix in Sensitivities.</x:v>
      </x:c>
      <x:c r="J48" s="58" t="str">
        <x:v>FY2030 FCF impact, with other Base assumptions fixed. Edit the annual inputs in Assumptions; inspect the growth / margin matrix in Sensitivities.</x:v>
      </x:c>
      <x:c r="K48" s="58" t="str">
        <x:v>FY2030 FCF impact, with other Base assumptions fixed. Edit the annual inputs in Assumptions; inspect the growth / margin matrix in Sensitivities.</x:v>
      </x:c>
      <x:c r="L48" s="40" t="str">
        <x:v>FY2030 FCF impact, with other Base assumptions fixed. Edit the annual inputs in Assumptions; inspect the growth / margin matrix in Sensitivities.</x:v>
      </x:c>
      <x:c r="M48" s="40" t="str">
        <x:v>FY2030 FCF impact, with other Base assumptions fixed. Edit the annual inputs in Assumptions; inspect the growth / margin matrix in Sensitivities.</x:v>
      </x:c>
      <x:c r="N48" s="40" t="str">
        <x:v>FY2030 FCF impact, with other Base assumptions fixed. Edit the annual inputs in Assumptions; inspect the growth / margin matrix in Sensitivities.</x:v>
      </x:c>
      <x:c r="O48" s="40" t="str">
        <x:v>FY2030 FCF impact, with other Base assumptions fixed. Edit the annual inputs in Assumptions; inspect the growth / margin matrix in Sensitivities.</x:v>
      </x:c>
    </x:row>
    <x:row r="49" ht="22" customHeight="1">
      <x:c r="A49" s="2"/>
      <x:c r="B49" s="2"/>
      <x:c r="C49" s="2"/>
      <x:c r="D49" s="2"/>
      <x:c r="E49" s="4"/>
      <x:c r="F49" s="4"/>
      <x:c r="G49" s="4"/>
      <x:c r="H49" s="4"/>
      <x:c r="I49" s="4"/>
      <x:c r="J49" s="4"/>
      <x:c r="K49" s="4"/>
      <x:c r="L49" s="2"/>
      <x:c r="M49" s="2"/>
      <x:c r="N49" s="2"/>
      <x:c r="O49" s="2"/>
    </x:row>
    <x:row r="50" ht="22" customHeight="1">
      <x:c r="A50" s="2"/>
      <x:c r="B50" s="2"/>
      <x:c r="C50" s="2"/>
      <x:c r="D50" s="2"/>
      <x:c r="E50" s="4"/>
      <x:c r="F50" s="4"/>
      <x:c r="G50" s="4"/>
      <x:c r="H50" s="4"/>
      <x:c r="I50" s="4"/>
      <x:c r="J50" s="4"/>
      <x:c r="K50" s="4"/>
      <x:c r="L50" s="2"/>
      <x:c r="M50" s="2"/>
      <x:c r="N50" s="2"/>
      <x:c r="O50" s="2"/>
    </x:row>
    <x:row r="51" ht="24" customHeight="1">
      <x:c r="A51" s="2"/>
      <x:c r="B51" s="2"/>
      <x:c r="C51" s="40" t="str">
        <x:v>Forecasts are illustrative analyst cases, not Fastenal guidance. FCF is operating cash flow less gross capex plus disposals, before dividends, buybacks and debt flows.</x:v>
      </x:c>
      <x:c r="D51" s="40" t="str">
        <x:v>Forecasts are illustrative analyst cases, not Fastenal guidance. FCF is operating cash flow less gross capex plus disposals, before dividends, buybacks and debt flows.</x:v>
      </x:c>
      <x:c r="E51" s="58" t="str">
        <x:v>Forecasts are illustrative analyst cases, not Fastenal guidance. FCF is operating cash flow less gross capex plus disposals, before dividends, buybacks and debt flows.</x:v>
      </x:c>
      <x:c r="F51" s="58" t="str">
        <x:v>Forecasts are illustrative analyst cases, not Fastenal guidance. FCF is operating cash flow less gross capex plus disposals, before dividends, buybacks and debt flows.</x:v>
      </x:c>
      <x:c r="G51" s="58" t="str">
        <x:v>Forecasts are illustrative analyst cases, not Fastenal guidance. FCF is operating cash flow less gross capex plus disposals, before dividends, buybacks and debt flows.</x:v>
      </x:c>
      <x:c r="H51" s="58" t="str">
        <x:v>Forecasts are illustrative analyst cases, not Fastenal guidance. FCF is operating cash flow less gross capex plus disposals, before dividends, buybacks and debt flows.</x:v>
      </x:c>
      <x:c r="I51" s="58" t="str">
        <x:v>Forecasts are illustrative analyst cases, not Fastenal guidance. FCF is operating cash flow less gross capex plus disposals, before dividends, buybacks and debt flows.</x:v>
      </x:c>
      <x:c r="J51" s="58" t="str">
        <x:v>Forecasts are illustrative analyst cases, not Fastenal guidance. FCF is operating cash flow less gross capex plus disposals, before dividends, buybacks and debt flows.</x:v>
      </x:c>
      <x:c r="K51" s="58" t="str">
        <x:v>Forecasts are illustrative analyst cases, not Fastenal guidance. FCF is operating cash flow less gross capex plus disposals, before dividends, buybacks and debt flows.</x:v>
      </x:c>
      <x:c r="L51" s="40" t="str">
        <x:v>Forecasts are illustrative analyst cases, not Fastenal guidance. FCF is operating cash flow less gross capex plus disposals, before dividends, buybacks and debt flows.</x:v>
      </x:c>
      <x:c r="M51" s="40" t="str">
        <x:v>Forecasts are illustrative analyst cases, not Fastenal guidance. FCF is operating cash flow less gross capex plus disposals, before dividends, buybacks and debt flows.</x:v>
      </x:c>
      <x:c r="N51" s="40" t="str">
        <x:v>Forecasts are illustrative analyst cases, not Fastenal guidance. FCF is operating cash flow less gross capex plus disposals, before dividends, buybacks and debt flows.</x:v>
      </x:c>
      <x:c r="O51" s="40" t="str">
        <x:v>Forecasts are illustrative analyst cases, not Fastenal guidance. FCF is operating cash flow less gross capex plus disposals, before dividends, buybacks and debt flows.</x:v>
      </x:c>
    </x:row>
    <x:row r="52" ht="24" customHeight="1">
      <x:c r="A52" s="2"/>
      <x:c r="B52" s="2"/>
      <x:c r="C52" s="40" t="str">
        <x:v>Forecasts are illustrative analyst cases, not Fastenal guidance. FCF is operating cash flow less gross capex plus disposals, before dividends, buybacks and debt flows.</x:v>
      </x:c>
      <x:c r="D52" s="40" t="str">
        <x:v>Forecasts are illustrative analyst cases, not Fastenal guidance. FCF is operating cash flow less gross capex plus disposals, before dividends, buybacks and debt flows.</x:v>
      </x:c>
      <x:c r="E52" s="58" t="str">
        <x:v>Forecasts are illustrative analyst cases, not Fastenal guidance. FCF is operating cash flow less gross capex plus disposals, before dividends, buybacks and debt flows.</x:v>
      </x:c>
      <x:c r="F52" s="58" t="str">
        <x:v>Forecasts are illustrative analyst cases, not Fastenal guidance. FCF is operating cash flow less gross capex plus disposals, before dividends, buybacks and debt flows.</x:v>
      </x:c>
      <x:c r="G52" s="58" t="str">
        <x:v>Forecasts are illustrative analyst cases, not Fastenal guidance. FCF is operating cash flow less gross capex plus disposals, before dividends, buybacks and debt flows.</x:v>
      </x:c>
      <x:c r="H52" s="58" t="str">
        <x:v>Forecasts are illustrative analyst cases, not Fastenal guidance. FCF is operating cash flow less gross capex plus disposals, before dividends, buybacks and debt flows.</x:v>
      </x:c>
      <x:c r="I52" s="58" t="str">
        <x:v>Forecasts are illustrative analyst cases, not Fastenal guidance. FCF is operating cash flow less gross capex plus disposals, before dividends, buybacks and debt flows.</x:v>
      </x:c>
      <x:c r="J52" s="58" t="str">
        <x:v>Forecasts are illustrative analyst cases, not Fastenal guidance. FCF is operating cash flow less gross capex plus disposals, before dividends, buybacks and debt flows.</x:v>
      </x:c>
      <x:c r="K52" s="58" t="str">
        <x:v>Forecasts are illustrative analyst cases, not Fastenal guidance. FCF is operating cash flow less gross capex plus disposals, before dividends, buybacks and debt flows.</x:v>
      </x:c>
      <x:c r="L52" s="40" t="str">
        <x:v>Forecasts are illustrative analyst cases, not Fastenal guidance. FCF is operating cash flow less gross capex plus disposals, before dividends, buybacks and debt flows.</x:v>
      </x:c>
      <x:c r="M52" s="40" t="str">
        <x:v>Forecasts are illustrative analyst cases, not Fastenal guidance. FCF is operating cash flow less gross capex plus disposals, before dividends, buybacks and debt flows.</x:v>
      </x:c>
      <x:c r="N52" s="40" t="str">
        <x:v>Forecasts are illustrative analyst cases, not Fastenal guidance. FCF is operating cash flow less gross capex plus disposals, before dividends, buybacks and debt flows.</x:v>
      </x:c>
      <x:c r="O52" s="40" t="str">
        <x:v>Forecasts are illustrative analyst cases, not Fastenal guidance. FCF is operating cash flow less gross capex plus disposals, before dividends, buybacks and debt flows.</x:v>
      </x:c>
    </x:row>
    <x:row r="53" ht="22" customHeight="1">
      <x:c r="A53" s="2"/>
      <x:c r="B53" s="2"/>
      <x:c r="C53" s="2"/>
      <x:c r="D53" s="2"/>
      <x:c r="E53" s="4"/>
      <x:c r="F53" s="4"/>
      <x:c r="G53" s="4"/>
      <x:c r="H53" s="4"/>
      <x:c r="I53" s="4"/>
      <x:c r="J53" s="4"/>
      <x:c r="K53" s="4"/>
      <x:c r="L53" s="2"/>
      <x:c r="M53" s="2"/>
      <x:c r="N53" s="2"/>
      <x:c r="O53" s="2"/>
    </x:row>
    <x:row r="54" ht="22" customHeight="1">
      <x:c r="A54" s="2"/>
      <x:c r="B54" s="2"/>
      <x:c r="C54" s="2"/>
      <x:c r="D54" s="2"/>
      <x:c r="E54" s="4"/>
      <x:c r="F54" s="4"/>
      <x:c r="G54" s="4"/>
      <x:c r="H54" s="4"/>
      <x:c r="I54" s="4"/>
      <x:c r="J54" s="4"/>
      <x:c r="K54" s="4"/>
      <x:c r="L54" s="2"/>
      <x:c r="M54" s="2"/>
      <x:c r="N54" s="2"/>
      <x:c r="O54" s="2"/>
    </x:row>
    <x:row r="55" ht="22" customHeight="1">
      <x:c r="A55" s="2"/>
      <x:c r="B55" s="2"/>
      <x:c r="C55" s="2"/>
      <x:c r="D55" s="2"/>
      <x:c r="E55" s="4"/>
      <x:c r="F55" s="4"/>
      <x:c r="G55" s="4"/>
      <x:c r="H55" s="4"/>
      <x:c r="I55" s="4"/>
      <x:c r="J55" s="4"/>
      <x:c r="K55" s="4"/>
      <x:c r="L55" s="2"/>
      <x:c r="M55" s="2"/>
      <x:c r="N55" s="2"/>
      <x:c r="O55" s="2"/>
    </x:row>
    <x:row r="56" ht="27" customHeight="1">
      <x:c r="A56" s="2"/>
      <x:c r="B56" s="2"/>
      <x:c r="C56" s="19" t="str">
        <x:v>Case</x:v>
      </x:c>
      <x:c r="D56" s="19" t="str">
        <x:v>Diluted EPS</x:v>
      </x:c>
      <x:c r="E56" s="4"/>
      <x:c r="F56" s="4"/>
      <x:c r="G56" s="4"/>
      <x:c r="H56" s="4"/>
      <x:c r="I56" s="4"/>
      <x:c r="J56" s="4"/>
      <x:c r="K56" s="4"/>
      <x:c r="L56" s="2"/>
      <x:c r="M56" s="2"/>
      <x:c r="N56" s="2"/>
      <x:c r="O56" s="2"/>
    </x:row>
    <x:row r="57" ht="22" customHeight="1">
      <x:c r="A57" s="2"/>
      <x:c r="B57" s="2"/>
      <x:c r="C57" s="2" t="str">
        <x:v>Bear</x:v>
      </x:c>
      <x:c r="D57" s="67" t="n">
        <x:f>'Model'!K24</x:f>
        <x:v>1.4056231612420114</x:v>
      </x:c>
      <x:c r="E57" s="4"/>
      <x:c r="F57" s="4"/>
      <x:c r="G57" s="4"/>
      <x:c r="H57" s="4"/>
      <x:c r="I57" s="4"/>
      <x:c r="J57" s="4"/>
      <x:c r="K57" s="4"/>
      <x:c r="L57" s="2"/>
      <x:c r="M57" s="2"/>
      <x:c r="N57" s="2"/>
      <x:c r="O57" s="2"/>
    </x:row>
    <x:row r="58" ht="22" customHeight="1">
      <x:c r="A58" s="2"/>
      <x:c r="B58" s="2"/>
      <x:c r="C58" s="2" t="str">
        <x:v>Base</x:v>
      </x:c>
      <x:c r="D58" s="67" t="n">
        <x:f>'Model'!K112</x:f>
        <x:v>1.8248974233132482</x:v>
      </x:c>
      <x:c r="E58" s="4"/>
      <x:c r="F58" s="4"/>
      <x:c r="G58" s="4"/>
      <x:c r="H58" s="4"/>
      <x:c r="I58" s="4"/>
      <x:c r="J58" s="4"/>
      <x:c r="K58" s="4"/>
      <x:c r="L58" s="2"/>
      <x:c r="M58" s="2"/>
      <x:c r="N58" s="2"/>
      <x:c r="O58" s="2"/>
    </x:row>
    <x:row r="59" ht="22" customHeight="1">
      <x:c r="A59" s="2"/>
      <x:c r="B59" s="2"/>
      <x:c r="C59" s="2" t="str">
        <x:v>Bull</x:v>
      </x:c>
      <x:c r="D59" s="67" t="n">
        <x:f>'Model'!K200</x:f>
        <x:v>2.1869193230848643</x:v>
      </x:c>
      <x:c r="E59" s="4"/>
      <x:c r="F59" s="4"/>
      <x:c r="G59" s="4"/>
      <x:c r="H59" s="4"/>
      <x:c r="I59" s="4"/>
      <x:c r="J59" s="4"/>
      <x:c r="K59" s="4"/>
      <x:c r="L59" s="2"/>
      <x:c r="M59" s="2"/>
      <x:c r="N59" s="2"/>
      <x:c r="O59" s="2"/>
    </x:row>
    <x:row r="60" ht="22" customHeight="1">
      <x:c r="A60" s="2"/>
      <x:c r="B60" s="2"/>
      <x:c r="C60" s="2"/>
      <x:c r="D60" s="2"/>
      <x:c r="E60" s="4"/>
      <x:c r="F60" s="4"/>
      <x:c r="G60" s="4"/>
      <x:c r="H60" s="4"/>
      <x:c r="I60" s="4"/>
      <x:c r="J60" s="4"/>
      <x:c r="K60" s="4"/>
      <x:c r="L60" s="2"/>
      <x:c r="M60" s="2"/>
      <x:c r="N60" s="2"/>
      <x:c r="O60" s="2"/>
    </x:row>
    <x:row r="61" ht="22" customHeight="1">
      <x:c r="A61" s="2"/>
      <x:c r="B61" s="2"/>
      <x:c r="C61" s="2"/>
      <x:c r="D61" s="2"/>
      <x:c r="E61" s="4"/>
      <x:c r="F61" s="4"/>
      <x:c r="G61" s="4"/>
      <x:c r="H61" s="4"/>
      <x:c r="I61" s="4"/>
      <x:c r="J61" s="4"/>
      <x:c r="K61" s="4"/>
      <x:c r="L61" s="2"/>
      <x:c r="M61" s="2"/>
      <x:c r="N61" s="2"/>
      <x:c r="O61" s="2"/>
    </x:row>
    <x:row r="62" ht="22" customHeight="1">
      <x:c r="A62" s="2"/>
      <x:c r="B62" s="2"/>
      <x:c r="C62" s="2"/>
      <x:c r="D62" s="2"/>
      <x:c r="E62" s="4"/>
      <x:c r="F62" s="4"/>
      <x:c r="G62" s="4"/>
      <x:c r="H62" s="4"/>
      <x:c r="I62" s="4"/>
      <x:c r="J62" s="4"/>
      <x:c r="K62" s="4"/>
      <x:c r="L62" s="2"/>
      <x:c r="M62" s="2"/>
      <x:c r="N62" s="2"/>
      <x:c r="O62" s="2"/>
    </x:row>
    <x:row r="63" ht="22" customHeight="1">
      <x:c r="A63" s="2"/>
      <x:c r="B63" s="2"/>
      <x:c r="C63" s="2"/>
      <x:c r="D63" s="2"/>
      <x:c r="E63" s="4"/>
      <x:c r="F63" s="4"/>
      <x:c r="G63" s="4"/>
      <x:c r="H63" s="4"/>
      <x:c r="I63" s="4"/>
      <x:c r="J63" s="4"/>
      <x:c r="K63" s="4"/>
      <x:c r="L63" s="2"/>
      <x:c r="M63" s="2"/>
      <x:c r="N63" s="2"/>
      <x:c r="O63" s="2"/>
    </x:row>
    <x:row r="64" ht="22" customHeight="1">
      <x:c r="A64" s="2"/>
      <x:c r="B64" s="2"/>
      <x:c r="C64" s="2"/>
      <x:c r="D64" s="2"/>
      <x:c r="E64" s="4"/>
      <x:c r="F64" s="4"/>
      <x:c r="G64" s="4"/>
      <x:c r="H64" s="4"/>
      <x:c r="I64" s="4"/>
      <x:c r="J64" s="4"/>
      <x:c r="K64" s="4"/>
      <x:c r="L64" s="2"/>
      <x:c r="M64" s="2"/>
      <x:c r="N64" s="2"/>
      <x:c r="O64" s="2"/>
    </x:row>
    <x:row r="65" ht="22" customHeight="1">
      <x:c r="A65" s="2"/>
      <x:c r="B65" s="2"/>
      <x:c r="C65" s="2"/>
      <x:c r="D65" s="2"/>
      <x:c r="E65" s="4"/>
      <x:c r="F65" s="4"/>
      <x:c r="G65" s="4"/>
      <x:c r="H65" s="4"/>
      <x:c r="I65" s="4"/>
      <x:c r="J65" s="4"/>
      <x:c r="K65" s="4"/>
      <x:c r="L65" s="2"/>
      <x:c r="M65" s="2"/>
      <x:c r="N65" s="2"/>
      <x:c r="O65" s="2"/>
    </x:row>
  </x:sheetData>
  <x:mergeCells>
    <x:mergeCell ref="C2:O2"/>
    <x:mergeCell ref="C4:O4"/>
    <x:mergeCell ref="C23:F23"/>
    <x:mergeCell ref="C34:F34"/>
    <x:mergeCell ref="C36:E36"/>
    <x:mergeCell ref="C37:E37"/>
    <x:mergeCell ref="C38:E38"/>
    <x:mergeCell ref="C39:E39"/>
    <x:mergeCell ref="C40:E40"/>
    <x:mergeCell ref="C41:E41"/>
    <x:mergeCell ref="C44:O44"/>
    <x:mergeCell ref="C46:E46"/>
    <x:mergeCell ref="C47:E47"/>
    <x:mergeCell ref="C48:E48"/>
    <x:mergeCell ref="H46:O48"/>
    <x:mergeCell ref="C51:O52"/>
  </x:mergeCells>
  <x:pageMargins left="0.7" right="0.7" top="0.75" bottom="0.75" header="0.3" footer="0.3"/>
  <x:drawing xmlns:r="http://schemas.openxmlformats.org/officeDocument/2006/relationships" r:id="Ra92c6a44c50241c3"/>
</x:worksheet>
</file>

<file path=xl/worksheets/sheet2.xml><?xml version="1.0" encoding="utf-8"?>
<x:worksheet xmlns:x="http://schemas.openxmlformats.org/spreadsheetml/2006/main">
  <x:sheetPr>
    <x:tabColor rgb="FF77543F"/>
  </x:sheetPr>
  <x:sheetViews>
    <x:sheetView showGridLines="0" workbookViewId="0">
      <x:pane xSplit="4" ySplit="7" topLeftCell="E8" activePane="bottomRight" state="frozen"/>
    </x:sheetView>
  </x:sheetViews>
  <x:sheetFormatPr defaultRowHeight="15"/>
  <x:cols>
    <x:col min="1" max="1" width="2.200000047683716" hidden="0" customWidth="1"/>
    <x:col min="2" max="2" width="2.200000047683716" hidden="0" customWidth="1"/>
    <x:col min="3" max="3" width="35" hidden="0" customWidth="1"/>
    <x:col min="4" max="4" width="9" hidden="0" customWidth="1"/>
    <x:col min="5" max="5" width="13" hidden="0" customWidth="1"/>
    <x:col min="6" max="6" width="13" hidden="0" customWidth="1"/>
    <x:col min="7" max="7" width="13" hidden="0" customWidth="1"/>
    <x:col min="8" max="8" width="13" hidden="0" customWidth="1"/>
    <x:col min="9" max="9" width="13" hidden="0" customWidth="1"/>
    <x:col min="10" max="10" width="13" hidden="0" customWidth="1"/>
    <x:col min="11" max="11" width="13" hidden="0" customWidth="1"/>
    <x:col min="12" max="12" width="3" hidden="0" customWidth="1"/>
    <x:col min="13" max="13" width="17" hidden="0" customWidth="1"/>
    <x:col min="14" max="14" width="17" hidden="0" customWidth="1"/>
    <x:col min="15" max="15" width="17" hidden="0" customWidth="1"/>
  </x:cols>
  <x:sheetData>
    <x:row r="1" ht="22" customHeight="1">
      <x:c r="A1" s="2"/>
      <x:c r="B1" s="2"/>
      <x:c r="C1" s="2"/>
      <x:c r="D1" s="2"/>
      <x:c r="E1" s="4"/>
      <x:c r="F1" s="4"/>
      <x:c r="G1" s="4"/>
      <x:c r="H1" s="4"/>
      <x:c r="I1" s="4"/>
      <x:c r="J1" s="4"/>
      <x:c r="K1" s="4"/>
      <x:c r="L1" s="2"/>
      <x:c r="M1" s="2"/>
      <x:c r="N1" s="2"/>
      <x:c r="O1" s="2"/>
    </x:row>
    <x:row r="2" ht="24" customHeight="1">
      <x:c r="A2" s="2"/>
      <x:c r="B2" s="2"/>
      <x:c r="C2" s="9" t="str">
        <x:v>Scenario assumptions</x:v>
      </x:c>
      <x:c r="D2" s="9" t="str">
        <x:v>Scenario assumptions</x:v>
      </x:c>
      <x:c r="E2" s="10" t="str">
        <x:v>Scenario assumptions</x:v>
      </x:c>
      <x:c r="F2" s="10" t="str">
        <x:v>Scenario assumptions</x:v>
      </x:c>
      <x:c r="G2" s="10" t="str">
        <x:v>Scenario assumptions</x:v>
      </x:c>
      <x:c r="H2" s="10" t="str">
        <x:v>Scenario assumptions</x:v>
      </x:c>
      <x:c r="I2" s="10" t="str">
        <x:v>Scenario assumptions</x:v>
      </x:c>
      <x:c r="J2" s="10" t="str">
        <x:v>Scenario assumptions</x:v>
      </x:c>
      <x:c r="K2" s="10" t="str">
        <x:v>Scenario assumptions</x:v>
      </x:c>
      <x:c r="L2" s="2"/>
      <x:c r="M2" s="2"/>
      <x:c r="N2" s="2"/>
      <x:c r="O2" s="2"/>
    </x:row>
    <x:row r="3" ht="22" customHeight="1">
      <x:c r="A3" s="2"/>
      <x:c r="B3" s="2"/>
      <x:c r="C3" s="5"/>
      <x:c r="D3" s="5"/>
      <x:c r="E3" s="6"/>
      <x:c r="F3" s="6"/>
      <x:c r="G3" s="6"/>
      <x:c r="H3" s="6"/>
      <x:c r="I3" s="6"/>
      <x:c r="J3" s="6"/>
      <x:c r="K3" s="6"/>
      <x:c r="L3" s="2"/>
      <x:c r="M3" s="2"/>
      <x:c r="N3" s="2"/>
      <x:c r="O3" s="2"/>
    </x:row>
    <x:row r="4" ht="24" customHeight="1">
      <x:c r="A4" s="2"/>
      <x:c r="B4" s="2"/>
      <x:c r="C4" s="13" t="str">
        <x:v>Blue numbers are editable. Forecasts are illustrative; all three cases recalculate from the annual inputs below.</x:v>
      </x:c>
      <x:c r="D4" s="13" t="str">
        <x:v>Blue numbers are editable. Forecasts are illustrative; all three cases recalculate from the annual inputs below.</x:v>
      </x:c>
      <x:c r="E4" s="14" t="str">
        <x:v>Blue numbers are editable. Forecasts are illustrative; all three cases recalculate from the annual inputs below.</x:v>
      </x:c>
      <x:c r="F4" s="14" t="str">
        <x:v>Blue numbers are editable. Forecasts are illustrative; all three cases recalculate from the annual inputs below.</x:v>
      </x:c>
      <x:c r="G4" s="14" t="str">
        <x:v>Blue numbers are editable. Forecasts are illustrative; all three cases recalculate from the annual inputs below.</x:v>
      </x:c>
      <x:c r="H4" s="14" t="str">
        <x:v>Blue numbers are editable. Forecasts are illustrative; all three cases recalculate from the annual inputs below.</x:v>
      </x:c>
      <x:c r="I4" s="14" t="str">
        <x:v>Blue numbers are editable. Forecasts are illustrative; all three cases recalculate from the annual inputs below.</x:v>
      </x:c>
      <x:c r="J4" s="14" t="str">
        <x:v>Blue numbers are editable. Forecasts are illustrative; all three cases recalculate from the annual inputs below.</x:v>
      </x:c>
      <x:c r="K4" s="14" t="str">
        <x:v>Blue numbers are editable. Forecasts are illustrative; all three cases recalculate from the annual inputs below.</x:v>
      </x:c>
      <x:c r="L4" s="13" t="str">
        <x:v>Blue numbers are editable. Forecasts are illustrative; all three cases recalculate from the annual inputs below.</x:v>
      </x:c>
      <x:c r="M4" s="13" t="str">
        <x:v>Blue numbers are editable. Forecasts are illustrative; all three cases recalculate from the annual inputs below.</x:v>
      </x:c>
      <x:c r="N4" s="13" t="str">
        <x:v>Blue numbers are editable. Forecasts are illustrative; all three cases recalculate from the annual inputs below.</x:v>
      </x:c>
      <x:c r="O4" s="13" t="str">
        <x:v>Blue numbers are editable. Forecasts are illustrative; all three cases recalculate from the annual inputs below.</x:v>
      </x:c>
    </x:row>
    <x:row r="5" ht="22" customHeight="1">
      <x:c r="A5" s="2"/>
      <x:c r="B5" s="2"/>
      <x:c r="C5" s="2"/>
      <x:c r="D5" s="2"/>
      <x:c r="E5" s="4"/>
      <x:c r="F5" s="4"/>
      <x:c r="G5" s="4"/>
      <x:c r="H5" s="4"/>
      <x:c r="I5" s="4"/>
      <x:c r="J5" s="4"/>
      <x:c r="K5" s="4"/>
      <x:c r="L5" s="2"/>
      <x:c r="M5" s="2"/>
      <x:c r="N5" s="2"/>
      <x:c r="O5" s="2"/>
    </x:row>
    <x:row r="6" ht="22" customHeight="1">
      <x:c r="A6" s="2"/>
      <x:c r="B6" s="2"/>
      <x:c r="C6" s="2"/>
      <x:c r="D6" s="2"/>
      <x:c r="E6" s="4"/>
      <x:c r="F6" s="4"/>
      <x:c r="G6" s="4"/>
      <x:c r="H6" s="4"/>
      <x:c r="I6" s="4"/>
      <x:c r="J6" s="4"/>
      <x:c r="K6" s="4"/>
      <x:c r="L6" s="2"/>
      <x:c r="M6" s="2"/>
      <x:c r="N6" s="2"/>
      <x:c r="O6" s="2"/>
    </x:row>
    <x:row r="7" ht="27" customHeight="1">
      <x:c r="A7" s="2"/>
      <x:c r="B7" s="2"/>
      <x:c r="C7" s="19" t="str">
        <x:v>Driver / case</x:v>
      </x:c>
      <x:c r="D7" s="19" t="str">
        <x:v>Unit</x:v>
      </x:c>
      <x:c r="E7" s="20" t="str">
        <x:v>FY2024 A</x:v>
      </x:c>
      <x:c r="F7" s="20" t="str">
        <x:v>FY2025 A</x:v>
      </x:c>
      <x:c r="G7" s="20" t="str">
        <x:v>FY2026 E</x:v>
      </x:c>
      <x:c r="H7" s="20" t="str">
        <x:v>FY2027 E</x:v>
      </x:c>
      <x:c r="I7" s="20" t="str">
        <x:v>FY2028 E</x:v>
      </x:c>
      <x:c r="J7" s="20" t="str">
        <x:v>FY2029 E</x:v>
      </x:c>
      <x:c r="K7" s="20" t="str">
        <x:v>FY2030 E</x:v>
      </x:c>
      <x:c r="L7" s="2"/>
      <x:c r="M7" s="2"/>
      <x:c r="N7" s="2"/>
      <x:c r="O7" s="2"/>
    </x:row>
    <x:row r="8" ht="22" customHeight="1">
      <x:c r="A8" s="2"/>
      <x:c r="B8" s="2"/>
      <x:c r="C8" s="2"/>
      <x:c r="D8" s="2"/>
      <x:c r="E8" s="4"/>
      <x:c r="F8" s="4"/>
      <x:c r="G8" s="4"/>
      <x:c r="H8" s="4"/>
      <x:c r="I8" s="4"/>
      <x:c r="J8" s="4"/>
      <x:c r="K8" s="4"/>
      <x:c r="L8" s="2"/>
      <x:c r="M8" s="2"/>
      <x:c r="N8" s="2"/>
      <x:c r="O8" s="2"/>
    </x:row>
    <x:row r="9" ht="26" customHeight="1">
      <x:c r="A9" s="2"/>
      <x:c r="B9" s="2"/>
      <x:c r="C9" s="26" t="str">
        <x:v>Revenue growth</x:v>
      </x:c>
      <x:c r="D9" s="26" t="str">
        <x:v>Revenue growth</x:v>
      </x:c>
      <x:c r="E9" s="27" t="str">
        <x:v>Revenue growth</x:v>
      </x:c>
      <x:c r="F9" s="27" t="str">
        <x:v>Revenue growth</x:v>
      </x:c>
      <x:c r="G9" s="27" t="str">
        <x:v>Revenue growth</x:v>
      </x:c>
      <x:c r="H9" s="27" t="str">
        <x:v>Revenue growth</x:v>
      </x:c>
      <x:c r="I9" s="27" t="str">
        <x:v>Revenue growth</x:v>
      </x:c>
      <x:c r="J9" s="27" t="str">
        <x:v>Revenue growth</x:v>
      </x:c>
      <x:c r="K9" s="27" t="str">
        <x:v>Revenue growth</x:v>
      </x:c>
      <x:c r="L9" s="2"/>
      <x:c r="M9" s="2"/>
      <x:c r="N9" s="2"/>
      <x:c r="O9" s="2"/>
    </x:row>
    <x:row r="10" ht="24" customHeight="1">
      <x:c r="A10" s="2"/>
      <x:c r="B10" s="2"/>
      <x:c r="C10" s="2" t="str">
        <x:v>Bear</x:v>
      </x:c>
      <x:c r="D10" s="2" t="str">
        <x:v>%</x:v>
      </x:c>
      <x:c r="E10" s="44" t="str">
        <x:v>n.a.</x:v>
      </x:c>
      <x:c r="F10" s="45" t="n">
        <x:f>'Model'!F98</x:f>
        <x:v>0.08673469387755106</x:v>
      </x:c>
      <x:c r="G10" s="43" t="n">
        <x:v>0.12</x:v>
      </x:c>
      <x:c r="H10" s="43" t="n">
        <x:v>0.06</x:v>
      </x:c>
      <x:c r="I10" s="43" t="n">
        <x:v>0.04</x:v>
      </x:c>
      <x:c r="J10" s="43" t="n">
        <x:v>0.04</x:v>
      </x:c>
      <x:c r="K10" s="43" t="n">
        <x:v>0.05</x:v>
      </x:c>
      <x:c r="L10" s="2"/>
      <x:c r="M10" s="40" t="str">
        <x:v>Illustrative share gains and industrial demand paths.</x:v>
      </x:c>
      <x:c r="N10" s="40" t="str">
        <x:v>Illustrative share gains and industrial demand paths.</x:v>
      </x:c>
      <x:c r="O10" s="40" t="str">
        <x:v>Illustrative share gains and industrial demand paths.</x:v>
      </x:c>
    </x:row>
    <x:row r="11" ht="24" customHeight="1">
      <x:c r="A11" s="2"/>
      <x:c r="B11" s="2"/>
      <x:c r="C11" s="2" t="str">
        <x:v>Base</x:v>
      </x:c>
      <x:c r="D11" s="2"/>
      <x:c r="E11" s="4"/>
      <x:c r="F11" s="4"/>
      <x:c r="G11" s="43" t="n">
        <x:v>0.14</x:v>
      </x:c>
      <x:c r="H11" s="43" t="n">
        <x:v>0.1</x:v>
      </x:c>
      <x:c r="I11" s="43" t="n">
        <x:v>0.09</x:v>
      </x:c>
      <x:c r="J11" s="43" t="n">
        <x:v>0.08</x:v>
      </x:c>
      <x:c r="K11" s="43" t="n">
        <x:v>0.08</x:v>
      </x:c>
      <x:c r="L11" s="2"/>
      <x:c r="M11" s="40" t="str">
        <x:v>Illustrative share gains and industrial demand paths.</x:v>
      </x:c>
      <x:c r="N11" s="40" t="str">
        <x:v>Illustrative share gains and industrial demand paths.</x:v>
      </x:c>
      <x:c r="O11" s="40" t="str">
        <x:v>Illustrative share gains and industrial demand paths.</x:v>
      </x:c>
    </x:row>
    <x:row r="12" ht="24" customHeight="1">
      <x:c r="A12" s="2"/>
      <x:c r="B12" s="2"/>
      <x:c r="C12" s="2" t="str">
        <x:v>Bull</x:v>
      </x:c>
      <x:c r="D12" s="2"/>
      <x:c r="E12" s="4"/>
      <x:c r="F12" s="4"/>
      <x:c r="G12" s="43" t="n">
        <x:v>0.15</x:v>
      </x:c>
      <x:c r="H12" s="43" t="n">
        <x:v>0.13</x:v>
      </x:c>
      <x:c r="I12" s="43" t="n">
        <x:v>0.12</x:v>
      </x:c>
      <x:c r="J12" s="43" t="n">
        <x:v>0.11</x:v>
      </x:c>
      <x:c r="K12" s="43" t="n">
        <x:v>0.1</x:v>
      </x:c>
      <x:c r="L12" s="2"/>
      <x:c r="M12" s="40" t="str">
        <x:v>Illustrative share gains and industrial demand paths.</x:v>
      </x:c>
      <x:c r="N12" s="40" t="str">
        <x:v>Illustrative share gains and industrial demand paths.</x:v>
      </x:c>
      <x:c r="O12" s="40" t="str">
        <x:v>Illustrative share gains and industrial demand paths.</x:v>
      </x:c>
    </x:row>
    <x:row r="13" ht="22" customHeight="1">
      <x:c r="A13" s="2"/>
      <x:c r="B13" s="2"/>
      <x:c r="C13" s="2"/>
      <x:c r="D13" s="2"/>
      <x:c r="E13" s="4"/>
      <x:c r="F13" s="4"/>
      <x:c r="G13" s="4"/>
      <x:c r="H13" s="4"/>
      <x:c r="I13" s="4"/>
      <x:c r="J13" s="4"/>
      <x:c r="K13" s="4"/>
      <x:c r="L13" s="2"/>
      <x:c r="M13" s="2"/>
      <x:c r="N13" s="2"/>
      <x:c r="O13" s="2"/>
    </x:row>
    <x:row r="14" ht="22" customHeight="1">
      <x:c r="A14" s="2"/>
      <x:c r="B14" s="2"/>
      <x:c r="C14" s="2"/>
      <x:c r="D14" s="2"/>
      <x:c r="E14" s="4"/>
      <x:c r="F14" s="4"/>
      <x:c r="G14" s="4"/>
      <x:c r="H14" s="4"/>
      <x:c r="I14" s="4"/>
      <x:c r="J14" s="4"/>
      <x:c r="K14" s="4"/>
      <x:c r="L14" s="2"/>
      <x:c r="M14" s="2"/>
      <x:c r="N14" s="2"/>
      <x:c r="O14" s="2"/>
    </x:row>
    <x:row r="15" ht="26" customHeight="1">
      <x:c r="A15" s="2"/>
      <x:c r="B15" s="2"/>
      <x:c r="C15" s="26" t="str">
        <x:v>Gross margin</x:v>
      </x:c>
      <x:c r="D15" s="26" t="str">
        <x:v>Gross margin</x:v>
      </x:c>
      <x:c r="E15" s="27" t="str">
        <x:v>Gross margin</x:v>
      </x:c>
      <x:c r="F15" s="27" t="str">
        <x:v>Gross margin</x:v>
      </x:c>
      <x:c r="G15" s="27" t="str">
        <x:v>Gross margin</x:v>
      </x:c>
      <x:c r="H15" s="27" t="str">
        <x:v>Gross margin</x:v>
      </x:c>
      <x:c r="I15" s="27" t="str">
        <x:v>Gross margin</x:v>
      </x:c>
      <x:c r="J15" s="27" t="str">
        <x:v>Gross margin</x:v>
      </x:c>
      <x:c r="K15" s="27" t="str">
        <x:v>Gross margin</x:v>
      </x:c>
      <x:c r="L15" s="2"/>
      <x:c r="M15" s="2"/>
      <x:c r="N15" s="2"/>
      <x:c r="O15" s="2"/>
    </x:row>
    <x:row r="16" ht="24" customHeight="1">
      <x:c r="A16" s="2"/>
      <x:c r="B16" s="2"/>
      <x:c r="C16" s="2" t="str">
        <x:v>Bear</x:v>
      </x:c>
      <x:c r="D16" s="2" t="str">
        <x:v>%</x:v>
      </x:c>
      <x:c r="E16" s="45" t="n">
        <x:f>'Model'!E102</x:f>
        <x:v>0.45082162735223963</x:v>
      </x:c>
      <x:c r="F16" s="45" t="n">
        <x:f>'Model'!F102</x:f>
        <x:v>0.4501188951893177</x:v>
      </x:c>
      <x:c r="G16" s="43" t="n">
        <x:v>0.44</x:v>
      </x:c>
      <x:c r="H16" s="43" t="n">
        <x:v>0.438</x:v>
      </x:c>
      <x:c r="I16" s="43" t="n">
        <x:v>0.436</x:v>
      </x:c>
      <x:c r="J16" s="43" t="n">
        <x:v>0.435</x:v>
      </x:c>
      <x:c r="K16" s="43" t="n">
        <x:v>0.435</x:v>
      </x:c>
      <x:c r="L16" s="2"/>
      <x:c r="M16" s="40" t="str">
        <x:v>Mix and price/cost. SG&amp;A is modeled separately.</x:v>
      </x:c>
      <x:c r="N16" s="40" t="str">
        <x:v>Mix and price/cost. SG&amp;A is modeled separately.</x:v>
      </x:c>
      <x:c r="O16" s="40" t="str">
        <x:v>Mix and price/cost. SG&amp;A is modeled separately.</x:v>
      </x:c>
    </x:row>
    <x:row r="17" ht="24" customHeight="1">
      <x:c r="A17" s="2"/>
      <x:c r="B17" s="2"/>
      <x:c r="C17" s="2" t="str">
        <x:v>Base</x:v>
      </x:c>
      <x:c r="D17" s="2"/>
      <x:c r="E17" s="4"/>
      <x:c r="F17" s="4"/>
      <x:c r="G17" s="43" t="n">
        <x:v>0.445</x:v>
      </x:c>
      <x:c r="H17" s="43" t="n">
        <x:v>0.444</x:v>
      </x:c>
      <x:c r="I17" s="43" t="n">
        <x:v>0.444</x:v>
      </x:c>
      <x:c r="J17" s="43" t="n">
        <x:v>0.444</x:v>
      </x:c>
      <x:c r="K17" s="43" t="n">
        <x:v>0.444</x:v>
      </x:c>
      <x:c r="L17" s="2"/>
      <x:c r="M17" s="40" t="str">
        <x:v>Mix and price/cost. SG&amp;A is modeled separately.</x:v>
      </x:c>
      <x:c r="N17" s="40" t="str">
        <x:v>Mix and price/cost. SG&amp;A is modeled separately.</x:v>
      </x:c>
      <x:c r="O17" s="40" t="str">
        <x:v>Mix and price/cost. SG&amp;A is modeled separately.</x:v>
      </x:c>
    </x:row>
    <x:row r="18" ht="24" customHeight="1">
      <x:c r="A18" s="2"/>
      <x:c r="B18" s="2"/>
      <x:c r="C18" s="2" t="str">
        <x:v>Bull</x:v>
      </x:c>
      <x:c r="D18" s="2"/>
      <x:c r="E18" s="4"/>
      <x:c r="F18" s="4"/>
      <x:c r="G18" s="43" t="n">
        <x:v>0.448</x:v>
      </x:c>
      <x:c r="H18" s="43" t="n">
        <x:v>0.449</x:v>
      </x:c>
      <x:c r="I18" s="43" t="n">
        <x:v>0.45</x:v>
      </x:c>
      <x:c r="J18" s="43" t="n">
        <x:v>0.4505</x:v>
      </x:c>
      <x:c r="K18" s="43" t="n">
        <x:v>0.451</x:v>
      </x:c>
      <x:c r="L18" s="2"/>
      <x:c r="M18" s="40" t="str">
        <x:v>Mix and price/cost. SG&amp;A is modeled separately.</x:v>
      </x:c>
      <x:c r="N18" s="40" t="str">
        <x:v>Mix and price/cost. SG&amp;A is modeled separately.</x:v>
      </x:c>
      <x:c r="O18" s="40" t="str">
        <x:v>Mix and price/cost. SG&amp;A is modeled separately.</x:v>
      </x:c>
    </x:row>
    <x:row r="19" ht="22" customHeight="1">
      <x:c r="A19" s="2"/>
      <x:c r="B19" s="2"/>
      <x:c r="C19" s="2"/>
      <x:c r="D19" s="2"/>
      <x:c r="E19" s="4"/>
      <x:c r="F19" s="4"/>
      <x:c r="G19" s="4"/>
      <x:c r="H19" s="4"/>
      <x:c r="I19" s="4"/>
      <x:c r="J19" s="4"/>
      <x:c r="K19" s="4"/>
      <x:c r="L19" s="2"/>
      <x:c r="M19" s="2"/>
      <x:c r="N19" s="2"/>
      <x:c r="O19" s="2"/>
    </x:row>
    <x:row r="20" ht="22" customHeight="1">
      <x:c r="A20" s="2"/>
      <x:c r="B20" s="2"/>
      <x:c r="C20" s="2"/>
      <x:c r="D20" s="2"/>
      <x:c r="E20" s="4"/>
      <x:c r="F20" s="4"/>
      <x:c r="G20" s="4"/>
      <x:c r="H20" s="4"/>
      <x:c r="I20" s="4"/>
      <x:c r="J20" s="4"/>
      <x:c r="K20" s="4"/>
      <x:c r="L20" s="2"/>
      <x:c r="M20" s="2"/>
      <x:c r="N20" s="2"/>
      <x:c r="O20" s="2"/>
    </x:row>
    <x:row r="21" ht="26" customHeight="1">
      <x:c r="A21" s="2"/>
      <x:c r="B21" s="2"/>
      <x:c r="C21" s="26" t="str">
        <x:v>SG&amp;A / revenue</x:v>
      </x:c>
      <x:c r="D21" s="26" t="str">
        <x:v>SG&amp;A / revenue</x:v>
      </x:c>
      <x:c r="E21" s="27" t="str">
        <x:v>SG&amp;A / revenue</x:v>
      </x:c>
      <x:c r="F21" s="27" t="str">
        <x:v>SG&amp;A / revenue</x:v>
      </x:c>
      <x:c r="G21" s="27" t="str">
        <x:v>SG&amp;A / revenue</x:v>
      </x:c>
      <x:c r="H21" s="27" t="str">
        <x:v>SG&amp;A / revenue</x:v>
      </x:c>
      <x:c r="I21" s="27" t="str">
        <x:v>SG&amp;A / revenue</x:v>
      </x:c>
      <x:c r="J21" s="27" t="str">
        <x:v>SG&amp;A / revenue</x:v>
      </x:c>
      <x:c r="K21" s="27" t="str">
        <x:v>SG&amp;A / revenue</x:v>
      </x:c>
      <x:c r="L21" s="2"/>
      <x:c r="M21" s="2"/>
      <x:c r="N21" s="2"/>
      <x:c r="O21" s="2"/>
    </x:row>
    <x:row r="22" ht="24" customHeight="1">
      <x:c r="A22" s="2"/>
      <x:c r="B22" s="2"/>
      <x:c r="C22" s="2" t="str">
        <x:v>Bear</x:v>
      </x:c>
      <x:c r="D22" s="2" t="str">
        <x:v>%</x:v>
      </x:c>
      <x:c r="E22" s="45" t="n">
        <x:f>'Model'!E104</x:f>
        <x:v>0.2507156109196926</x:v>
      </x:c>
      <x:c r="F22" s="45" t="n">
        <x:f>'Model'!F104</x:f>
        <x:v>0.24821657216023413</x:v>
      </x:c>
      <x:c r="G22" s="43" t="n">
        <x:v>0.244</x:v>
      </x:c>
      <x:c r="H22" s="43" t="n">
        <x:v>0.244</x:v>
      </x:c>
      <x:c r="I22" s="43" t="n">
        <x:v>0.244</x:v>
      </x:c>
      <x:c r="J22" s="43" t="n">
        <x:v>0.242</x:v>
      </x:c>
      <x:c r="K22" s="43" t="n">
        <x:v>0.241</x:v>
      </x:c>
      <x:c r="L22" s="2"/>
      <x:c r="M22" s="40" t="str">
        <x:v>Expense leverage, not an independent EBIT plug.</x:v>
      </x:c>
      <x:c r="N22" s="40" t="str">
        <x:v>Expense leverage, not an independent EBIT plug.</x:v>
      </x:c>
      <x:c r="O22" s="40" t="str">
        <x:v>Expense leverage, not an independent EBIT plug.</x:v>
      </x:c>
    </x:row>
    <x:row r="23" ht="24" customHeight="1">
      <x:c r="A23" s="2"/>
      <x:c r="B23" s="2"/>
      <x:c r="C23" s="2" t="str">
        <x:v>Base</x:v>
      </x:c>
      <x:c r="D23" s="2"/>
      <x:c r="E23" s="4"/>
      <x:c r="F23" s="4"/>
      <x:c r="G23" s="43" t="n">
        <x:v>0.239</x:v>
      </x:c>
      <x:c r="H23" s="43" t="n">
        <x:v>0.236</x:v>
      </x:c>
      <x:c r="I23" s="43" t="n">
        <x:v>0.234</x:v>
      </x:c>
      <x:c r="J23" s="43" t="n">
        <x:v>0.232</x:v>
      </x:c>
      <x:c r="K23" s="43" t="n">
        <x:v>0.231</x:v>
      </x:c>
      <x:c r="L23" s="2"/>
      <x:c r="M23" s="40" t="str">
        <x:v>Expense leverage, not an independent EBIT plug.</x:v>
      </x:c>
      <x:c r="N23" s="40" t="str">
        <x:v>Expense leverage, not an independent EBIT plug.</x:v>
      </x:c>
      <x:c r="O23" s="40" t="str">
        <x:v>Expense leverage, not an independent EBIT plug.</x:v>
      </x:c>
    </x:row>
    <x:row r="24" ht="24" customHeight="1">
      <x:c r="A24" s="2"/>
      <x:c r="B24" s="2"/>
      <x:c r="C24" s="2" t="str">
        <x:v>Bull</x:v>
      </x:c>
      <x:c r="D24" s="2"/>
      <x:c r="E24" s="4"/>
      <x:c r="F24" s="4"/>
      <x:c r="G24" s="43" t="n">
        <x:v>0.238</x:v>
      </x:c>
      <x:c r="H24" s="43" t="n">
        <x:v>0.233</x:v>
      </x:c>
      <x:c r="I24" s="43" t="n">
        <x:v>0.229</x:v>
      </x:c>
      <x:c r="J24" s="43" t="n">
        <x:v>0.225</x:v>
      </x:c>
      <x:c r="K24" s="43" t="n">
        <x:v>0.222</x:v>
      </x:c>
      <x:c r="L24" s="2"/>
      <x:c r="M24" s="40" t="str">
        <x:v>Expense leverage, not an independent EBIT plug.</x:v>
      </x:c>
      <x:c r="N24" s="40" t="str">
        <x:v>Expense leverage, not an independent EBIT plug.</x:v>
      </x:c>
      <x:c r="O24" s="40" t="str">
        <x:v>Expense leverage, not an independent EBIT plug.</x:v>
      </x:c>
    </x:row>
    <x:row r="25" ht="22" customHeight="1">
      <x:c r="A25" s="2"/>
      <x:c r="B25" s="2"/>
      <x:c r="C25" s="2"/>
      <x:c r="D25" s="2"/>
      <x:c r="E25" s="4"/>
      <x:c r="F25" s="4"/>
      <x:c r="G25" s="4"/>
      <x:c r="H25" s="4"/>
      <x:c r="I25" s="4"/>
      <x:c r="J25" s="4"/>
      <x:c r="K25" s="4"/>
      <x:c r="L25" s="2"/>
      <x:c r="M25" s="2"/>
      <x:c r="N25" s="2"/>
      <x:c r="O25" s="2"/>
    </x:row>
    <x:row r="26" ht="22" customHeight="1">
      <x:c r="A26" s="2"/>
      <x:c r="B26" s="2"/>
      <x:c r="C26" s="2"/>
      <x:c r="D26" s="2"/>
      <x:c r="E26" s="4"/>
      <x:c r="F26" s="4"/>
      <x:c r="G26" s="4"/>
      <x:c r="H26" s="4"/>
      <x:c r="I26" s="4"/>
      <x:c r="J26" s="4"/>
      <x:c r="K26" s="4"/>
      <x:c r="L26" s="2"/>
      <x:c r="M26" s="2"/>
      <x:c r="N26" s="2"/>
      <x:c r="O26" s="2"/>
    </x:row>
    <x:row r="27" ht="26" customHeight="1">
      <x:c r="A27" s="2"/>
      <x:c r="B27" s="2"/>
      <x:c r="C27" s="26" t="str">
        <x:v>Effective tax rate</x:v>
      </x:c>
      <x:c r="D27" s="26" t="str">
        <x:v>Effective tax rate</x:v>
      </x:c>
      <x:c r="E27" s="27" t="str">
        <x:v>Effective tax rate</x:v>
      </x:c>
      <x:c r="F27" s="27" t="str">
        <x:v>Effective tax rate</x:v>
      </x:c>
      <x:c r="G27" s="27" t="str">
        <x:v>Effective tax rate</x:v>
      </x:c>
      <x:c r="H27" s="27" t="str">
        <x:v>Effective tax rate</x:v>
      </x:c>
      <x:c r="I27" s="27" t="str">
        <x:v>Effective tax rate</x:v>
      </x:c>
      <x:c r="J27" s="27" t="str">
        <x:v>Effective tax rate</x:v>
      </x:c>
      <x:c r="K27" s="27" t="str">
        <x:v>Effective tax rate</x:v>
      </x:c>
      <x:c r="L27" s="2"/>
      <x:c r="M27" s="2"/>
      <x:c r="N27" s="2"/>
      <x:c r="O27" s="2"/>
    </x:row>
    <x:row r="28" ht="24" customHeight="1">
      <x:c r="A28" s="2"/>
      <x:c r="B28" s="2"/>
      <x:c r="C28" s="2" t="str">
        <x:v>Bear</x:v>
      </x:c>
      <x:c r="D28" s="2" t="str">
        <x:v>%</x:v>
      </x:c>
      <x:c r="E28" s="45" t="n">
        <x:f>'Model'!E110</x:f>
        <x:v>0.23705324580598106</x:v>
      </x:c>
      <x:c r="F28" s="45" t="n">
        <x:f>'Model'!F110</x:f>
        <x:v>0.23963746223564955</x:v>
      </x:c>
      <x:c r="G28" s="43" t="n">
        <x:v>0.246</x:v>
      </x:c>
      <x:c r="H28" s="43" t="n">
        <x:v>0.246</x:v>
      </x:c>
      <x:c r="I28" s="43" t="n">
        <x:v>0.246</x:v>
      </x:c>
      <x:c r="J28" s="43" t="n">
        <x:v>0.246</x:v>
      </x:c>
      <x:c r="K28" s="43" t="n">
        <x:v>0.246</x:v>
      </x:c>
      <x:c r="L28" s="2"/>
      <x:c r="M28" s="40" t="str">
        <x:v>S2: management ongoing rate. Cash tax = book tax.</x:v>
      </x:c>
      <x:c r="N28" s="40" t="str">
        <x:v>S2: management ongoing rate. Cash tax = book tax.</x:v>
      </x:c>
      <x:c r="O28" s="40" t="str">
        <x:v>S2: management ongoing rate. Cash tax = book tax.</x:v>
      </x:c>
    </x:row>
    <x:row r="29" ht="24" customHeight="1">
      <x:c r="A29" s="2"/>
      <x:c r="B29" s="2"/>
      <x:c r="C29" s="2" t="str">
        <x:v>Base</x:v>
      </x:c>
      <x:c r="D29" s="2"/>
      <x:c r="E29" s="4"/>
      <x:c r="F29" s="4"/>
      <x:c r="G29" s="43" t="n">
        <x:v>0.246</x:v>
      </x:c>
      <x:c r="H29" s="43" t="n">
        <x:v>0.246</x:v>
      </x:c>
      <x:c r="I29" s="43" t="n">
        <x:v>0.246</x:v>
      </x:c>
      <x:c r="J29" s="43" t="n">
        <x:v>0.246</x:v>
      </x:c>
      <x:c r="K29" s="43" t="n">
        <x:v>0.246</x:v>
      </x:c>
      <x:c r="L29" s="2"/>
      <x:c r="M29" s="40" t="str">
        <x:v>S2: management ongoing rate. Cash tax = book tax.</x:v>
      </x:c>
      <x:c r="N29" s="40" t="str">
        <x:v>S2: management ongoing rate. Cash tax = book tax.</x:v>
      </x:c>
      <x:c r="O29" s="40" t="str">
        <x:v>S2: management ongoing rate. Cash tax = book tax.</x:v>
      </x:c>
    </x:row>
    <x:row r="30" ht="24" customHeight="1">
      <x:c r="A30" s="2"/>
      <x:c r="B30" s="2"/>
      <x:c r="C30" s="2" t="str">
        <x:v>Bull</x:v>
      </x:c>
      <x:c r="D30" s="2"/>
      <x:c r="E30" s="4"/>
      <x:c r="F30" s="4"/>
      <x:c r="G30" s="43" t="n">
        <x:v>0.246</x:v>
      </x:c>
      <x:c r="H30" s="43" t="n">
        <x:v>0.246</x:v>
      </x:c>
      <x:c r="I30" s="43" t="n">
        <x:v>0.246</x:v>
      </x:c>
      <x:c r="J30" s="43" t="n">
        <x:v>0.246</x:v>
      </x:c>
      <x:c r="K30" s="43" t="n">
        <x:v>0.246</x:v>
      </x:c>
      <x:c r="L30" s="2"/>
      <x:c r="M30" s="40" t="str">
        <x:v>S2: management ongoing rate. Cash tax = book tax.</x:v>
      </x:c>
      <x:c r="N30" s="40" t="str">
        <x:v>S2: management ongoing rate. Cash tax = book tax.</x:v>
      </x:c>
      <x:c r="O30" s="40" t="str">
        <x:v>S2: management ongoing rate. Cash tax = book tax.</x:v>
      </x:c>
    </x:row>
    <x:row r="31" ht="22" customHeight="1">
      <x:c r="A31" s="2"/>
      <x:c r="B31" s="2"/>
      <x:c r="C31" s="2"/>
      <x:c r="D31" s="2"/>
      <x:c r="E31" s="4"/>
      <x:c r="F31" s="4"/>
      <x:c r="G31" s="4"/>
      <x:c r="H31" s="4"/>
      <x:c r="I31" s="4"/>
      <x:c r="J31" s="4"/>
      <x:c r="K31" s="4"/>
      <x:c r="L31" s="2"/>
      <x:c r="M31" s="2"/>
      <x:c r="N31" s="2"/>
      <x:c r="O31" s="2"/>
    </x:row>
    <x:row r="32" ht="22" customHeight="1">
      <x:c r="A32" s="2"/>
      <x:c r="B32" s="2"/>
      <x:c r="C32" s="2"/>
      <x:c r="D32" s="2"/>
      <x:c r="E32" s="4"/>
      <x:c r="F32" s="4"/>
      <x:c r="G32" s="4"/>
      <x:c r="H32" s="4"/>
      <x:c r="I32" s="4"/>
      <x:c r="J32" s="4"/>
      <x:c r="K32" s="4"/>
      <x:c r="L32" s="2"/>
      <x:c r="M32" s="2"/>
      <x:c r="N32" s="2"/>
      <x:c r="O32" s="2"/>
    </x:row>
    <x:row r="33" ht="26" customHeight="1">
      <x:c r="A33" s="2"/>
      <x:c r="B33" s="2"/>
      <x:c r="C33" s="26" t="str">
        <x:v>Receivable days</x:v>
      </x:c>
      <x:c r="D33" s="26" t="str">
        <x:v>Receivable days</x:v>
      </x:c>
      <x:c r="E33" s="27" t="str">
        <x:v>Receivable days</x:v>
      </x:c>
      <x:c r="F33" s="27" t="str">
        <x:v>Receivable days</x:v>
      </x:c>
      <x:c r="G33" s="27" t="str">
        <x:v>Receivable days</x:v>
      </x:c>
      <x:c r="H33" s="27" t="str">
        <x:v>Receivable days</x:v>
      </x:c>
      <x:c r="I33" s="27" t="str">
        <x:v>Receivable days</x:v>
      </x:c>
      <x:c r="J33" s="27" t="str">
        <x:v>Receivable days</x:v>
      </x:c>
      <x:c r="K33" s="27" t="str">
        <x:v>Receivable days</x:v>
      </x:c>
      <x:c r="L33" s="2"/>
      <x:c r="M33" s="2"/>
      <x:c r="N33" s="2"/>
      <x:c r="O33" s="2"/>
    </x:row>
    <x:row r="34" ht="24" customHeight="1">
      <x:c r="A34" s="2"/>
      <x:c r="B34" s="2"/>
      <x:c r="C34" s="2" t="str">
        <x:v>Bear</x:v>
      </x:c>
      <x:c r="D34" s="2" t="str">
        <x:v>days</x:v>
      </x:c>
      <x:c r="E34" s="39" t="n">
        <x:f>'Model'!E116</x:f>
        <x:v>53.62297906175457</x:v>
      </x:c>
      <x:c r="F34" s="39" t="n">
        <x:f>'Model'!F116</x:f>
        <x:v>55.42765685019206</x:v>
      </x:c>
      <x:c r="G34" s="42" t="n">
        <x:v>57</x:v>
      </x:c>
      <x:c r="H34" s="42" t="n">
        <x:v>58</x:v>
      </x:c>
      <x:c r="I34" s="42" t="n">
        <x:v>59</x:v>
      </x:c>
      <x:c r="J34" s="42" t="n">
        <x:v>59</x:v>
      </x:c>
      <x:c r="K34" s="42" t="n">
        <x:v>59</x:v>
      </x:c>
      <x:c r="L34" s="2"/>
      <x:c r="M34" s="40" t="str">
        <x:v>Year-end AR / annual sales × 365.</x:v>
      </x:c>
      <x:c r="N34" s="40" t="str">
        <x:v>Year-end AR / annual sales × 365.</x:v>
      </x:c>
      <x:c r="O34" s="40" t="str">
        <x:v>Year-end AR / annual sales × 365.</x:v>
      </x:c>
    </x:row>
    <x:row r="35" ht="24" customHeight="1">
      <x:c r="A35" s="2"/>
      <x:c r="B35" s="2"/>
      <x:c r="C35" s="2" t="str">
        <x:v>Base</x:v>
      </x:c>
      <x:c r="D35" s="2"/>
      <x:c r="E35" s="4"/>
      <x:c r="F35" s="4"/>
      <x:c r="G35" s="42" t="n">
        <x:v>55.5</x:v>
      </x:c>
      <x:c r="H35" s="42" t="n">
        <x:v>55.5</x:v>
      </x:c>
      <x:c r="I35" s="42" t="n">
        <x:v>55</x:v>
      </x:c>
      <x:c r="J35" s="42" t="n">
        <x:v>55</x:v>
      </x:c>
      <x:c r="K35" s="42" t="n">
        <x:v>55</x:v>
      </x:c>
      <x:c r="L35" s="2"/>
      <x:c r="M35" s="40" t="str">
        <x:v>Year-end AR / annual sales × 365.</x:v>
      </x:c>
      <x:c r="N35" s="40" t="str">
        <x:v>Year-end AR / annual sales × 365.</x:v>
      </x:c>
      <x:c r="O35" s="40" t="str">
        <x:v>Year-end AR / annual sales × 365.</x:v>
      </x:c>
    </x:row>
    <x:row r="36" ht="24" customHeight="1">
      <x:c r="A36" s="2"/>
      <x:c r="B36" s="2"/>
      <x:c r="C36" s="2" t="str">
        <x:v>Bull</x:v>
      </x:c>
      <x:c r="D36" s="2"/>
      <x:c r="E36" s="4"/>
      <x:c r="F36" s="4"/>
      <x:c r="G36" s="42" t="n">
        <x:v>55</x:v>
      </x:c>
      <x:c r="H36" s="42" t="n">
        <x:v>54.5</x:v>
      </x:c>
      <x:c r="I36" s="42" t="n">
        <x:v>54</x:v>
      </x:c>
      <x:c r="J36" s="42" t="n">
        <x:v>53.5</x:v>
      </x:c>
      <x:c r="K36" s="42" t="n">
        <x:v>53</x:v>
      </x:c>
      <x:c r="L36" s="2"/>
      <x:c r="M36" s="40" t="str">
        <x:v>Year-end AR / annual sales × 365.</x:v>
      </x:c>
      <x:c r="N36" s="40" t="str">
        <x:v>Year-end AR / annual sales × 365.</x:v>
      </x:c>
      <x:c r="O36" s="40" t="str">
        <x:v>Year-end AR / annual sales × 365.</x:v>
      </x:c>
    </x:row>
    <x:row r="37" ht="22" customHeight="1">
      <x:c r="A37" s="2"/>
      <x:c r="B37" s="2"/>
      <x:c r="C37" s="2"/>
      <x:c r="D37" s="2"/>
      <x:c r="E37" s="4"/>
      <x:c r="F37" s="4"/>
      <x:c r="G37" s="4"/>
      <x:c r="H37" s="4"/>
      <x:c r="I37" s="4"/>
      <x:c r="J37" s="4"/>
      <x:c r="K37" s="4"/>
      <x:c r="L37" s="2"/>
      <x:c r="M37" s="2"/>
      <x:c r="N37" s="2"/>
      <x:c r="O37" s="2"/>
    </x:row>
    <x:row r="38" ht="22" customHeight="1">
      <x:c r="A38" s="2"/>
      <x:c r="B38" s="2"/>
      <x:c r="C38" s="2"/>
      <x:c r="D38" s="2"/>
      <x:c r="E38" s="4"/>
      <x:c r="F38" s="4"/>
      <x:c r="G38" s="4"/>
      <x:c r="H38" s="4"/>
      <x:c r="I38" s="4"/>
      <x:c r="J38" s="4"/>
      <x:c r="K38" s="4"/>
      <x:c r="L38" s="2"/>
      <x:c r="M38" s="2"/>
      <x:c r="N38" s="2"/>
      <x:c r="O38" s="2"/>
    </x:row>
    <x:row r="39" ht="26" customHeight="1">
      <x:c r="A39" s="2"/>
      <x:c r="B39" s="2"/>
      <x:c r="C39" s="26" t="str">
        <x:v>Inventory days</x:v>
      </x:c>
      <x:c r="D39" s="26" t="str">
        <x:v>Inventory days</x:v>
      </x:c>
      <x:c r="E39" s="27" t="str">
        <x:v>Inventory days</x:v>
      </x:c>
      <x:c r="F39" s="27" t="str">
        <x:v>Inventory days</x:v>
      </x:c>
      <x:c r="G39" s="27" t="str">
        <x:v>Inventory days</x:v>
      </x:c>
      <x:c r="H39" s="27" t="str">
        <x:v>Inventory days</x:v>
      </x:c>
      <x:c r="I39" s="27" t="str">
        <x:v>Inventory days</x:v>
      </x:c>
      <x:c r="J39" s="27" t="str">
        <x:v>Inventory days</x:v>
      </x:c>
      <x:c r="K39" s="27" t="str">
        <x:v>Inventory days</x:v>
      </x:c>
      <x:c r="L39" s="2"/>
      <x:c r="M39" s="2"/>
      <x:c r="N39" s="2"/>
      <x:c r="O39" s="2"/>
    </x:row>
    <x:row r="40" ht="24" customHeight="1">
      <x:c r="A40" s="2"/>
      <x:c r="B40" s="2"/>
      <x:c r="C40" s="2" t="str">
        <x:v>Bear</x:v>
      </x:c>
      <x:c r="D40" s="2" t="str">
        <x:v>days</x:v>
      </x:c>
      <x:c r="E40" s="39" t="n">
        <x:f>'Model'!E117</x:f>
        <x:v>144.88670640187252</x:v>
      </x:c>
      <x:c r="F40" s="39" t="n">
        <x:f>'Model'!F117</x:f>
        <x:v>141.489809948329</x:v>
      </x:c>
      <x:c r="G40" s="42" t="n">
        <x:v>145</x:v>
      </x:c>
      <x:c r="H40" s="42" t="n">
        <x:v>148</x:v>
      </x:c>
      <x:c r="I40" s="42" t="n">
        <x:v>150</x:v>
      </x:c>
      <x:c r="J40" s="42" t="n">
        <x:v>150</x:v>
      </x:c>
      <x:c r="K40" s="42" t="n">
        <x:v>150</x:v>
      </x:c>
      <x:c r="L40" s="2"/>
      <x:c r="M40" s="40" t="str">
        <x:v>Year-end inventory / annual COGS × 365.</x:v>
      </x:c>
      <x:c r="N40" s="40" t="str">
        <x:v>Year-end inventory / annual COGS × 365.</x:v>
      </x:c>
      <x:c r="O40" s="40" t="str">
        <x:v>Year-end inventory / annual COGS × 365.</x:v>
      </x:c>
    </x:row>
    <x:row r="41" ht="24" customHeight="1">
      <x:c r="A41" s="2"/>
      <x:c r="B41" s="2"/>
      <x:c r="C41" s="2" t="str">
        <x:v>Base</x:v>
      </x:c>
      <x:c r="D41" s="2"/>
      <x:c r="E41" s="4"/>
      <x:c r="F41" s="4"/>
      <x:c r="G41" s="42" t="n">
        <x:v>140</x:v>
      </x:c>
      <x:c r="H41" s="42" t="n">
        <x:v>138</x:v>
      </x:c>
      <x:c r="I41" s="42" t="n">
        <x:v>136</x:v>
      </x:c>
      <x:c r="J41" s="42" t="n">
        <x:v>134</x:v>
      </x:c>
      <x:c r="K41" s="42" t="n">
        <x:v>132</x:v>
      </x:c>
      <x:c r="L41" s="2"/>
      <x:c r="M41" s="40" t="str">
        <x:v>Year-end inventory / annual COGS × 365.</x:v>
      </x:c>
      <x:c r="N41" s="40" t="str">
        <x:v>Year-end inventory / annual COGS × 365.</x:v>
      </x:c>
      <x:c r="O41" s="40" t="str">
        <x:v>Year-end inventory / annual COGS × 365.</x:v>
      </x:c>
    </x:row>
    <x:row r="42" ht="24" customHeight="1">
      <x:c r="A42" s="2"/>
      <x:c r="B42" s="2"/>
      <x:c r="C42" s="2" t="str">
        <x:v>Bull</x:v>
      </x:c>
      <x:c r="D42" s="2"/>
      <x:c r="E42" s="4"/>
      <x:c r="F42" s="4"/>
      <x:c r="G42" s="42" t="n">
        <x:v>138</x:v>
      </x:c>
      <x:c r="H42" s="42" t="n">
        <x:v>133</x:v>
      </x:c>
      <x:c r="I42" s="42" t="n">
        <x:v>128</x:v>
      </x:c>
      <x:c r="J42" s="42" t="n">
        <x:v>125</x:v>
      </x:c>
      <x:c r="K42" s="42" t="n">
        <x:v>122</x:v>
      </x:c>
      <x:c r="L42" s="2"/>
      <x:c r="M42" s="40" t="str">
        <x:v>Year-end inventory / annual COGS × 365.</x:v>
      </x:c>
      <x:c r="N42" s="40" t="str">
        <x:v>Year-end inventory / annual COGS × 365.</x:v>
      </x:c>
      <x:c r="O42" s="40" t="str">
        <x:v>Year-end inventory / annual COGS × 365.</x:v>
      </x:c>
    </x:row>
    <x:row r="43" ht="22" customHeight="1">
      <x:c r="A43" s="2"/>
      <x:c r="B43" s="2"/>
      <x:c r="C43" s="2"/>
      <x:c r="D43" s="2"/>
      <x:c r="E43" s="4"/>
      <x:c r="F43" s="4"/>
      <x:c r="G43" s="4"/>
      <x:c r="H43" s="4"/>
      <x:c r="I43" s="4"/>
      <x:c r="J43" s="4"/>
      <x:c r="K43" s="4"/>
      <x:c r="L43" s="2"/>
      <x:c r="M43" s="2"/>
      <x:c r="N43" s="2"/>
      <x:c r="O43" s="2"/>
    </x:row>
    <x:row r="44" ht="22" customHeight="1">
      <x:c r="A44" s="2"/>
      <x:c r="B44" s="2"/>
      <x:c r="C44" s="2"/>
      <x:c r="D44" s="2"/>
      <x:c r="E44" s="4"/>
      <x:c r="F44" s="4"/>
      <x:c r="G44" s="4"/>
      <x:c r="H44" s="4"/>
      <x:c r="I44" s="4"/>
      <x:c r="J44" s="4"/>
      <x:c r="K44" s="4"/>
      <x:c r="L44" s="2"/>
      <x:c r="M44" s="2"/>
      <x:c r="N44" s="2"/>
      <x:c r="O44" s="2"/>
    </x:row>
    <x:row r="45" ht="26" customHeight="1">
      <x:c r="A45" s="2"/>
      <x:c r="B45" s="2"/>
      <x:c r="C45" s="26" t="str">
        <x:v>Payable days</x:v>
      </x:c>
      <x:c r="D45" s="26" t="str">
        <x:v>Payable days</x:v>
      </x:c>
      <x:c r="E45" s="27" t="str">
        <x:v>Payable days</x:v>
      </x:c>
      <x:c r="F45" s="27" t="str">
        <x:v>Payable days</x:v>
      </x:c>
      <x:c r="G45" s="27" t="str">
        <x:v>Payable days</x:v>
      </x:c>
      <x:c r="H45" s="27" t="str">
        <x:v>Payable days</x:v>
      </x:c>
      <x:c r="I45" s="27" t="str">
        <x:v>Payable days</x:v>
      </x:c>
      <x:c r="J45" s="27" t="str">
        <x:v>Payable days</x:v>
      </x:c>
      <x:c r="K45" s="27" t="str">
        <x:v>Payable days</x:v>
      </x:c>
      <x:c r="L45" s="2"/>
      <x:c r="M45" s="2"/>
      <x:c r="N45" s="2"/>
      <x:c r="O45" s="2"/>
    </x:row>
    <x:row r="46" ht="24" customHeight="1">
      <x:c r="A46" s="2"/>
      <x:c r="B46" s="2"/>
      <x:c r="C46" s="2" t="str">
        <x:v>Bear</x:v>
      </x:c>
      <x:c r="D46" s="2" t="str">
        <x:v>days</x:v>
      </x:c>
      <x:c r="E46" s="39" t="n">
        <x:f>'Model'!E118</x:f>
        <x:v>25.339760140923236</x:v>
      </x:c>
      <x:c r="F46" s="39" t="n">
        <x:f>'Model'!F118</x:f>
        <x:v>25.64300445745459</x:v>
      </x:c>
      <x:c r="G46" s="42" t="n">
        <x:v>26</x:v>
      </x:c>
      <x:c r="H46" s="42" t="n">
        <x:v>26</x:v>
      </x:c>
      <x:c r="I46" s="42" t="n">
        <x:v>26</x:v>
      </x:c>
      <x:c r="J46" s="42" t="n">
        <x:v>26</x:v>
      </x:c>
      <x:c r="K46" s="42" t="n">
        <x:v>26</x:v>
      </x:c>
      <x:c r="L46" s="2"/>
      <x:c r="M46" s="40" t="str">
        <x:v>Year-end AP / annual COGS × 365.</x:v>
      </x:c>
      <x:c r="N46" s="40" t="str">
        <x:v>Year-end AP / annual COGS × 365.</x:v>
      </x:c>
      <x:c r="O46" s="40" t="str">
        <x:v>Year-end AP / annual COGS × 365.</x:v>
      </x:c>
    </x:row>
    <x:row r="47" ht="24" customHeight="1">
      <x:c r="A47" s="2"/>
      <x:c r="B47" s="2"/>
      <x:c r="C47" s="2" t="str">
        <x:v>Base</x:v>
      </x:c>
      <x:c r="D47" s="2"/>
      <x:c r="E47" s="4"/>
      <x:c r="F47" s="4"/>
      <x:c r="G47" s="42" t="n">
        <x:v>28</x:v>
      </x:c>
      <x:c r="H47" s="42" t="n">
        <x:v>28</x:v>
      </x:c>
      <x:c r="I47" s="42" t="n">
        <x:v>29</x:v>
      </x:c>
      <x:c r="J47" s="42" t="n">
        <x:v>29</x:v>
      </x:c>
      <x:c r="K47" s="42" t="n">
        <x:v>30</x:v>
      </x:c>
      <x:c r="L47" s="2"/>
      <x:c r="M47" s="40" t="str">
        <x:v>Year-end AP / annual COGS × 365.</x:v>
      </x:c>
      <x:c r="N47" s="40" t="str">
        <x:v>Year-end AP / annual COGS × 365.</x:v>
      </x:c>
      <x:c r="O47" s="40" t="str">
        <x:v>Year-end AP / annual COGS × 365.</x:v>
      </x:c>
    </x:row>
    <x:row r="48" ht="24" customHeight="1">
      <x:c r="A48" s="2"/>
      <x:c r="B48" s="2"/>
      <x:c r="C48" s="2" t="str">
        <x:v>Bull</x:v>
      </x:c>
      <x:c r="D48" s="2"/>
      <x:c r="E48" s="4"/>
      <x:c r="F48" s="4"/>
      <x:c r="G48" s="42" t="n">
        <x:v>29</x:v>
      </x:c>
      <x:c r="H48" s="42" t="n">
        <x:v>30</x:v>
      </x:c>
      <x:c r="I48" s="42" t="n">
        <x:v>31</x:v>
      </x:c>
      <x:c r="J48" s="42" t="n">
        <x:v>32</x:v>
      </x:c>
      <x:c r="K48" s="42" t="n">
        <x:v>33</x:v>
      </x:c>
      <x:c r="L48" s="2"/>
      <x:c r="M48" s="40" t="str">
        <x:v>Year-end AP / annual COGS × 365.</x:v>
      </x:c>
      <x:c r="N48" s="40" t="str">
        <x:v>Year-end AP / annual COGS × 365.</x:v>
      </x:c>
      <x:c r="O48" s="40" t="str">
        <x:v>Year-end AP / annual COGS × 365.</x:v>
      </x:c>
    </x:row>
    <x:row r="49" ht="22" customHeight="1">
      <x:c r="A49" s="2"/>
      <x:c r="B49" s="2"/>
      <x:c r="C49" s="2"/>
      <x:c r="D49" s="2"/>
      <x:c r="E49" s="4"/>
      <x:c r="F49" s="4"/>
      <x:c r="G49" s="4"/>
      <x:c r="H49" s="4"/>
      <x:c r="I49" s="4"/>
      <x:c r="J49" s="4"/>
      <x:c r="K49" s="4"/>
      <x:c r="L49" s="2"/>
      <x:c r="M49" s="2"/>
      <x:c r="N49" s="2"/>
      <x:c r="O49" s="2"/>
    </x:row>
    <x:row r="50" ht="22" customHeight="1">
      <x:c r="A50" s="2"/>
      <x:c r="B50" s="2"/>
      <x:c r="C50" s="2"/>
      <x:c r="D50" s="2"/>
      <x:c r="E50" s="4"/>
      <x:c r="F50" s="4"/>
      <x:c r="G50" s="4"/>
      <x:c r="H50" s="4"/>
      <x:c r="I50" s="4"/>
      <x:c r="J50" s="4"/>
      <x:c r="K50" s="4"/>
      <x:c r="L50" s="2"/>
      <x:c r="M50" s="2"/>
      <x:c r="N50" s="2"/>
      <x:c r="O50" s="2"/>
    </x:row>
    <x:row r="51" ht="26" customHeight="1">
      <x:c r="A51" s="2"/>
      <x:c r="B51" s="2"/>
      <x:c r="C51" s="26" t="str">
        <x:v>Other operating NWC / revenue</x:v>
      </x:c>
      <x:c r="D51" s="26" t="str">
        <x:v>Other operating NWC / revenue</x:v>
      </x:c>
      <x:c r="E51" s="27" t="str">
        <x:v>Other operating NWC / revenue</x:v>
      </x:c>
      <x:c r="F51" s="27" t="str">
        <x:v>Other operating NWC / revenue</x:v>
      </x:c>
      <x:c r="G51" s="27" t="str">
        <x:v>Other operating NWC / revenue</x:v>
      </x:c>
      <x:c r="H51" s="27" t="str">
        <x:v>Other operating NWC / revenue</x:v>
      </x:c>
      <x:c r="I51" s="27" t="str">
        <x:v>Other operating NWC / revenue</x:v>
      </x:c>
      <x:c r="J51" s="27" t="str">
        <x:v>Other operating NWC / revenue</x:v>
      </x:c>
      <x:c r="K51" s="27" t="str">
        <x:v>Other operating NWC / revenue</x:v>
      </x:c>
      <x:c r="L51" s="2"/>
      <x:c r="M51" s="2"/>
      <x:c r="N51" s="2"/>
      <x:c r="O51" s="2"/>
    </x:row>
    <x:row r="52" ht="24" customHeight="1">
      <x:c r="A52" s="2"/>
      <x:c r="B52" s="2"/>
      <x:c r="C52" s="2" t="str">
        <x:v>Bear</x:v>
      </x:c>
      <x:c r="D52" s="2" t="str">
        <x:v>%</x:v>
      </x:c>
      <x:c r="E52" s="45" t="n">
        <x:f>'Model'!E119</x:f>
        <x:v>-0.005552610654651471</x:v>
      </x:c>
      <x:c r="F52" s="45" t="n">
        <x:f>'Model'!F119</x:f>
        <x:v>-0.010096945308212911</x:v>
      </x:c>
      <x:c r="G52" s="43" t="n">
        <x:v>-0.009</x:v>
      </x:c>
      <x:c r="H52" s="43" t="n">
        <x:v>-0.009</x:v>
      </x:c>
      <x:c r="I52" s="43" t="n">
        <x:v>-0.009</x:v>
      </x:c>
      <x:c r="J52" s="43" t="n">
        <x:v>-0.009</x:v>
      </x:c>
      <x:c r="K52" s="43" t="n">
        <x:v>-0.009</x:v>
      </x:c>
      <x:c r="L52" s="2"/>
      <x:c r="M52" s="40" t="str">
        <x:v>Other current assets less accrued expenses.</x:v>
      </x:c>
      <x:c r="N52" s="40" t="str">
        <x:v>Other current assets less accrued expenses.</x:v>
      </x:c>
      <x:c r="O52" s="40" t="str">
        <x:v>Other current assets less accrued expenses.</x:v>
      </x:c>
    </x:row>
    <x:row r="53" ht="24" customHeight="1">
      <x:c r="A53" s="2"/>
      <x:c r="B53" s="2"/>
      <x:c r="C53" s="2" t="str">
        <x:v>Base</x:v>
      </x:c>
      <x:c r="D53" s="2"/>
      <x:c r="E53" s="4"/>
      <x:c r="F53" s="4"/>
      <x:c r="G53" s="43" t="n">
        <x:v>-0.01</x:v>
      </x:c>
      <x:c r="H53" s="43" t="n">
        <x:v>-0.01</x:v>
      </x:c>
      <x:c r="I53" s="43" t="n">
        <x:v>-0.01</x:v>
      </x:c>
      <x:c r="J53" s="43" t="n">
        <x:v>-0.01</x:v>
      </x:c>
      <x:c r="K53" s="43" t="n">
        <x:v>-0.01</x:v>
      </x:c>
      <x:c r="L53" s="2"/>
      <x:c r="M53" s="40" t="str">
        <x:v>Other current assets less accrued expenses.</x:v>
      </x:c>
      <x:c r="N53" s="40" t="str">
        <x:v>Other current assets less accrued expenses.</x:v>
      </x:c>
      <x:c r="O53" s="40" t="str">
        <x:v>Other current assets less accrued expenses.</x:v>
      </x:c>
    </x:row>
    <x:row r="54" ht="24" customHeight="1">
      <x:c r="A54" s="2"/>
      <x:c r="B54" s="2"/>
      <x:c r="C54" s="2" t="str">
        <x:v>Bull</x:v>
      </x:c>
      <x:c r="D54" s="2"/>
      <x:c r="E54" s="4"/>
      <x:c r="F54" s="4"/>
      <x:c r="G54" s="43" t="n">
        <x:v>-0.011</x:v>
      </x:c>
      <x:c r="H54" s="43" t="n">
        <x:v>-0.011</x:v>
      </x:c>
      <x:c r="I54" s="43" t="n">
        <x:v>-0.011</x:v>
      </x:c>
      <x:c r="J54" s="43" t="n">
        <x:v>-0.011</x:v>
      </x:c>
      <x:c r="K54" s="43" t="n">
        <x:v>-0.011</x:v>
      </x:c>
      <x:c r="L54" s="2"/>
      <x:c r="M54" s="40" t="str">
        <x:v>Other current assets less accrued expenses.</x:v>
      </x:c>
      <x:c r="N54" s="40" t="str">
        <x:v>Other current assets less accrued expenses.</x:v>
      </x:c>
      <x:c r="O54" s="40" t="str">
        <x:v>Other current assets less accrued expenses.</x:v>
      </x:c>
    </x:row>
    <x:row r="55" ht="22" customHeight="1">
      <x:c r="A55" s="2"/>
      <x:c r="B55" s="2"/>
      <x:c r="C55" s="2"/>
      <x:c r="D55" s="2"/>
      <x:c r="E55" s="4"/>
      <x:c r="F55" s="4"/>
      <x:c r="G55" s="4"/>
      <x:c r="H55" s="4"/>
      <x:c r="I55" s="4"/>
      <x:c r="J55" s="4"/>
      <x:c r="K55" s="4"/>
      <x:c r="L55" s="2"/>
      <x:c r="M55" s="2"/>
      <x:c r="N55" s="2"/>
      <x:c r="O55" s="2"/>
    </x:row>
    <x:row r="56" ht="22" customHeight="1">
      <x:c r="A56" s="2"/>
      <x:c r="B56" s="2"/>
      <x:c r="C56" s="2"/>
      <x:c r="D56" s="2"/>
      <x:c r="E56" s="4"/>
      <x:c r="F56" s="4"/>
      <x:c r="G56" s="4"/>
      <x:c r="H56" s="4"/>
      <x:c r="I56" s="4"/>
      <x:c r="J56" s="4"/>
      <x:c r="K56" s="4"/>
      <x:c r="L56" s="2"/>
      <x:c r="M56" s="2"/>
      <x:c r="N56" s="2"/>
      <x:c r="O56" s="2"/>
    </x:row>
    <x:row r="57" ht="26" customHeight="1">
      <x:c r="A57" s="2"/>
      <x:c r="B57" s="2"/>
      <x:c r="C57" s="26" t="str">
        <x:v>D&amp;A / revenue</x:v>
      </x:c>
      <x:c r="D57" s="26" t="str">
        <x:v>D&amp;A / revenue</x:v>
      </x:c>
      <x:c r="E57" s="27" t="str">
        <x:v>D&amp;A / revenue</x:v>
      </x:c>
      <x:c r="F57" s="27" t="str">
        <x:v>D&amp;A / revenue</x:v>
      </x:c>
      <x:c r="G57" s="27" t="str">
        <x:v>D&amp;A / revenue</x:v>
      </x:c>
      <x:c r="H57" s="27" t="str">
        <x:v>D&amp;A / revenue</x:v>
      </x:c>
      <x:c r="I57" s="27" t="str">
        <x:v>D&amp;A / revenue</x:v>
      </x:c>
      <x:c r="J57" s="27" t="str">
        <x:v>D&amp;A / revenue</x:v>
      </x:c>
      <x:c r="K57" s="27" t="str">
        <x:v>D&amp;A / revenue</x:v>
      </x:c>
      <x:c r="L57" s="2"/>
      <x:c r="M57" s="2"/>
      <x:c r="N57" s="2"/>
      <x:c r="O57" s="2"/>
    </x:row>
    <x:row r="58" ht="24" customHeight="1">
      <x:c r="A58" s="2"/>
      <x:c r="B58" s="2"/>
      <x:c r="C58" s="2" t="str">
        <x:v>Bear</x:v>
      </x:c>
      <x:c r="D58" s="2" t="str">
        <x:v>%</x:v>
      </x:c>
      <x:c r="E58" s="45" t="n">
        <x:f>'Model'!E132</x:f>
        <x:v>0.023244102835939567</x:v>
      </x:c>
      <x:c r="F58" s="45" t="n">
        <x:f>'Model'!F132</x:f>
        <x:v>0.02185232607767819</x:v>
      </x:c>
      <x:c r="G58" s="43" t="n">
        <x:v>0.022</x:v>
      </x:c>
      <x:c r="H58" s="43" t="n">
        <x:v>0.022</x:v>
      </x:c>
      <x:c r="I58" s="43" t="n">
        <x:v>0.022</x:v>
      </x:c>
      <x:c r="J58" s="43" t="n">
        <x:v>0.022</x:v>
      </x:c>
      <x:c r="K58" s="43" t="n">
        <x:v>0.022</x:v>
      </x:c>
      <x:c r="L58" s="2"/>
      <x:c r="M58" s="40" t="str">
        <x:v>Ratio-based D&amp;A; no asset-vintage depreciation schedule.</x:v>
      </x:c>
      <x:c r="N58" s="40" t="str">
        <x:v>Ratio-based D&amp;A; no asset-vintage depreciation schedule.</x:v>
      </x:c>
      <x:c r="O58" s="40" t="str">
        <x:v>Ratio-based D&amp;A; no asset-vintage depreciation schedule.</x:v>
      </x:c>
    </x:row>
    <x:row r="59" ht="24" customHeight="1">
      <x:c r="A59" s="2"/>
      <x:c r="B59" s="2"/>
      <x:c r="C59" s="2" t="str">
        <x:v>Base</x:v>
      </x:c>
      <x:c r="D59" s="2"/>
      <x:c r="E59" s="4"/>
      <x:c r="F59" s="4"/>
      <x:c r="G59" s="43" t="n">
        <x:v>0.0218</x:v>
      </x:c>
      <x:c r="H59" s="43" t="n">
        <x:v>0.0215</x:v>
      </x:c>
      <x:c r="I59" s="43" t="n">
        <x:v>0.0213</x:v>
      </x:c>
      <x:c r="J59" s="43" t="n">
        <x:v>0.021</x:v>
      </x:c>
      <x:c r="K59" s="43" t="n">
        <x:v>0.021</x:v>
      </x:c>
      <x:c r="L59" s="2"/>
      <x:c r="M59" s="40" t="str">
        <x:v>Ratio-based D&amp;A; no asset-vintage depreciation schedule.</x:v>
      </x:c>
      <x:c r="N59" s="40" t="str">
        <x:v>Ratio-based D&amp;A; no asset-vintage depreciation schedule.</x:v>
      </x:c>
      <x:c r="O59" s="40" t="str">
        <x:v>Ratio-based D&amp;A; no asset-vintage depreciation schedule.</x:v>
      </x:c>
    </x:row>
    <x:row r="60" ht="24" customHeight="1">
      <x:c r="A60" s="2"/>
      <x:c r="B60" s="2"/>
      <x:c r="C60" s="2" t="str">
        <x:v>Bull</x:v>
      </x:c>
      <x:c r="D60" s="2"/>
      <x:c r="E60" s="4"/>
      <x:c r="F60" s="4"/>
      <x:c r="G60" s="43" t="n">
        <x:v>0.0215</x:v>
      </x:c>
      <x:c r="H60" s="43" t="n">
        <x:v>0.021</x:v>
      </x:c>
      <x:c r="I60" s="43" t="n">
        <x:v>0.0205</x:v>
      </x:c>
      <x:c r="J60" s="43" t="n">
        <x:v>0.02</x:v>
      </x:c>
      <x:c r="K60" s="43" t="n">
        <x:v>0.02</x:v>
      </x:c>
      <x:c r="L60" s="2"/>
      <x:c r="M60" s="40" t="str">
        <x:v>Ratio-based D&amp;A; no asset-vintage depreciation schedule.</x:v>
      </x:c>
      <x:c r="N60" s="40" t="str">
        <x:v>Ratio-based D&amp;A; no asset-vintage depreciation schedule.</x:v>
      </x:c>
      <x:c r="O60" s="40" t="str">
        <x:v>Ratio-based D&amp;A; no asset-vintage depreciation schedule.</x:v>
      </x:c>
    </x:row>
    <x:row r="61" ht="22" customHeight="1">
      <x:c r="A61" s="2"/>
      <x:c r="B61" s="2"/>
      <x:c r="C61" s="2"/>
      <x:c r="D61" s="2"/>
      <x:c r="E61" s="4"/>
      <x:c r="F61" s="4"/>
      <x:c r="G61" s="4"/>
      <x:c r="H61" s="4"/>
      <x:c r="I61" s="4"/>
      <x:c r="J61" s="4"/>
      <x:c r="K61" s="4"/>
      <x:c r="L61" s="2"/>
      <x:c r="M61" s="2"/>
      <x:c r="N61" s="2"/>
      <x:c r="O61" s="2"/>
    </x:row>
    <x:row r="62" ht="22" customHeight="1">
      <x:c r="A62" s="2"/>
      <x:c r="B62" s="2"/>
      <x:c r="C62" s="2"/>
      <x:c r="D62" s="2"/>
      <x:c r="E62" s="4"/>
      <x:c r="F62" s="4"/>
      <x:c r="G62" s="4"/>
      <x:c r="H62" s="4"/>
      <x:c r="I62" s="4"/>
      <x:c r="J62" s="4"/>
      <x:c r="K62" s="4"/>
      <x:c r="L62" s="2"/>
      <x:c r="M62" s="2"/>
      <x:c r="N62" s="2"/>
      <x:c r="O62" s="2"/>
    </x:row>
    <x:row r="63" ht="26" customHeight="1">
      <x:c r="A63" s="2"/>
      <x:c r="B63" s="2"/>
      <x:c r="C63" s="26" t="str">
        <x:v>Stock compensation / revenue</x:v>
      </x:c>
      <x:c r="D63" s="26" t="str">
        <x:v>Stock compensation / revenue</x:v>
      </x:c>
      <x:c r="E63" s="27" t="str">
        <x:v>Stock compensation / revenue</x:v>
      </x:c>
      <x:c r="F63" s="27" t="str">
        <x:v>Stock compensation / revenue</x:v>
      </x:c>
      <x:c r="G63" s="27" t="str">
        <x:v>Stock compensation / revenue</x:v>
      </x:c>
      <x:c r="H63" s="27" t="str">
        <x:v>Stock compensation / revenue</x:v>
      </x:c>
      <x:c r="I63" s="27" t="str">
        <x:v>Stock compensation / revenue</x:v>
      </x:c>
      <x:c r="J63" s="27" t="str">
        <x:v>Stock compensation / revenue</x:v>
      </x:c>
      <x:c r="K63" s="27" t="str">
        <x:v>Stock compensation / revenue</x:v>
      </x:c>
      <x:c r="L63" s="2"/>
      <x:c r="M63" s="2"/>
      <x:c r="N63" s="2"/>
      <x:c r="O63" s="2"/>
    </x:row>
    <x:row r="64" ht="24" customHeight="1">
      <x:c r="A64" s="2"/>
      <x:c r="B64" s="2"/>
      <x:c r="C64" s="2" t="str">
        <x:v>Bear</x:v>
      </x:c>
      <x:c r="D64" s="2" t="str">
        <x:v>%</x:v>
      </x:c>
      <x:c r="E64" s="45" t="n">
        <x:f>'Model'!E133</x:f>
        <x:v>0.0010601643254704478</x:v>
      </x:c>
      <x:c r="F64" s="45" t="n">
        <x:f>'Model'!F133</x:f>
        <x:v>0.0010243277848911653</x:v>
      </x:c>
      <x:c r="G64" s="43" t="n">
        <x:v>0.001</x:v>
      </x:c>
      <x:c r="H64" s="43" t="n">
        <x:v>0.001</x:v>
      </x:c>
      <x:c r="I64" s="43" t="n">
        <x:v>0.001</x:v>
      </x:c>
      <x:c r="J64" s="43" t="n">
        <x:v>0.001</x:v>
      </x:c>
      <x:c r="K64" s="43" t="n">
        <x:v>0.001</x:v>
      </x:c>
      <x:c r="L64" s="2"/>
      <x:c r="M64" s="40" t="str">
        <x:v>Included in operating expense; added back to CFO.</x:v>
      </x:c>
      <x:c r="N64" s="40" t="str">
        <x:v>Included in operating expense; added back to CFO.</x:v>
      </x:c>
      <x:c r="O64" s="40" t="str">
        <x:v>Included in operating expense; added back to CFO.</x:v>
      </x:c>
    </x:row>
    <x:row r="65" ht="24" customHeight="1">
      <x:c r="A65" s="2"/>
      <x:c r="B65" s="2"/>
      <x:c r="C65" s="2" t="str">
        <x:v>Base</x:v>
      </x:c>
      <x:c r="D65" s="2"/>
      <x:c r="E65" s="4"/>
      <x:c r="F65" s="4"/>
      <x:c r="G65" s="43" t="n">
        <x:v>0.001</x:v>
      </x:c>
      <x:c r="H65" s="43" t="n">
        <x:v>0.001</x:v>
      </x:c>
      <x:c r="I65" s="43" t="n">
        <x:v>0.001</x:v>
      </x:c>
      <x:c r="J65" s="43" t="n">
        <x:v>0.001</x:v>
      </x:c>
      <x:c r="K65" s="43" t="n">
        <x:v>0.001</x:v>
      </x:c>
      <x:c r="L65" s="2"/>
      <x:c r="M65" s="40" t="str">
        <x:v>Included in operating expense; added back to CFO.</x:v>
      </x:c>
      <x:c r="N65" s="40" t="str">
        <x:v>Included in operating expense; added back to CFO.</x:v>
      </x:c>
      <x:c r="O65" s="40" t="str">
        <x:v>Included in operating expense; added back to CFO.</x:v>
      </x:c>
    </x:row>
    <x:row r="66" ht="24" customHeight="1">
      <x:c r="A66" s="2"/>
      <x:c r="B66" s="2"/>
      <x:c r="C66" s="2" t="str">
        <x:v>Bull</x:v>
      </x:c>
      <x:c r="D66" s="2"/>
      <x:c r="E66" s="4"/>
      <x:c r="F66" s="4"/>
      <x:c r="G66" s="43" t="n">
        <x:v>0.001</x:v>
      </x:c>
      <x:c r="H66" s="43" t="n">
        <x:v>0.001</x:v>
      </x:c>
      <x:c r="I66" s="43" t="n">
        <x:v>0.001</x:v>
      </x:c>
      <x:c r="J66" s="43" t="n">
        <x:v>0.001</x:v>
      </x:c>
      <x:c r="K66" s="43" t="n">
        <x:v>0.001</x:v>
      </x:c>
      <x:c r="L66" s="2"/>
      <x:c r="M66" s="40" t="str">
        <x:v>Included in operating expense; added back to CFO.</x:v>
      </x:c>
      <x:c r="N66" s="40" t="str">
        <x:v>Included in operating expense; added back to CFO.</x:v>
      </x:c>
      <x:c r="O66" s="40" t="str">
        <x:v>Included in operating expense; added back to CFO.</x:v>
      </x:c>
    </x:row>
    <x:row r="67" ht="22" customHeight="1">
      <x:c r="A67" s="2"/>
      <x:c r="B67" s="2"/>
      <x:c r="C67" s="2"/>
      <x:c r="D67" s="2"/>
      <x:c r="E67" s="4"/>
      <x:c r="F67" s="4"/>
      <x:c r="G67" s="4"/>
      <x:c r="H67" s="4"/>
      <x:c r="I67" s="4"/>
      <x:c r="J67" s="4"/>
      <x:c r="K67" s="4"/>
      <x:c r="L67" s="2"/>
      <x:c r="M67" s="2"/>
      <x:c r="N67" s="2"/>
      <x:c r="O67" s="2"/>
    </x:row>
    <x:row r="68" ht="22" customHeight="1">
      <x:c r="A68" s="2"/>
      <x:c r="B68" s="2"/>
      <x:c r="C68" s="2"/>
      <x:c r="D68" s="2"/>
      <x:c r="E68" s="4"/>
      <x:c r="F68" s="4"/>
      <x:c r="G68" s="4"/>
      <x:c r="H68" s="4"/>
      <x:c r="I68" s="4"/>
      <x:c r="J68" s="4"/>
      <x:c r="K68" s="4"/>
      <x:c r="L68" s="2"/>
      <x:c r="M68" s="2"/>
      <x:c r="N68" s="2"/>
      <x:c r="O68" s="2"/>
    </x:row>
    <x:row r="69" ht="26" customHeight="1">
      <x:c r="A69" s="2"/>
      <x:c r="B69" s="2"/>
      <x:c r="C69" s="26" t="str">
        <x:v>Gross capex / revenue</x:v>
      </x:c>
      <x:c r="D69" s="26" t="str">
        <x:v>Gross capex / revenue</x:v>
      </x:c>
      <x:c r="E69" s="27" t="str">
        <x:v>Gross capex / revenue</x:v>
      </x:c>
      <x:c r="F69" s="27" t="str">
        <x:v>Gross capex / revenue</x:v>
      </x:c>
      <x:c r="G69" s="27" t="str">
        <x:v>Gross capex / revenue</x:v>
      </x:c>
      <x:c r="H69" s="27" t="str">
        <x:v>Gross capex / revenue</x:v>
      </x:c>
      <x:c r="I69" s="27" t="str">
        <x:v>Gross capex / revenue</x:v>
      </x:c>
      <x:c r="J69" s="27" t="str">
        <x:v>Gross capex / revenue</x:v>
      </x:c>
      <x:c r="K69" s="27" t="str">
        <x:v>Gross capex / revenue</x:v>
      </x:c>
      <x:c r="L69" s="2"/>
      <x:c r="M69" s="2"/>
      <x:c r="N69" s="2"/>
      <x:c r="O69" s="2"/>
    </x:row>
    <x:row r="70" ht="24" customHeight="1">
      <x:c r="A70" s="2"/>
      <x:c r="B70" s="2"/>
      <x:c r="C70" s="2" t="str">
        <x:v>Bear</x:v>
      </x:c>
      <x:c r="D70" s="2" t="str">
        <x:v>%</x:v>
      </x:c>
      <x:c r="E70" s="45" t="n">
        <x:f>'Model'!E137</x:f>
        <x:v>0.030015902464882057</x:v>
      </x:c>
      <x:c r="F70" s="45" t="n">
        <x:f>'Model'!F137</x:f>
        <x:v>0.029912810194500337</x:v>
      </x:c>
      <x:c r="G70" s="43" t="n">
        <x:v>0.03538547301122753</x:v>
      </x:c>
      <x:c r="H70" s="43" t="n">
        <x:v>0.032</x:v>
      </x:c>
      <x:c r="I70" s="43" t="n">
        <x:v>0.032</x:v>
      </x:c>
      <x:c r="J70" s="43" t="n">
        <x:v>0.032</x:v>
      </x:c>
      <x:c r="K70" s="43" t="n">
        <x:v>0.032</x:v>
      </x:c>
      <x:c r="L70" s="2"/>
      <x:c r="M70" s="40" t="str">
        <x:v>2026 gross capex: 325 / 335 / 345m, then sales ratios.</x:v>
      </x:c>
      <x:c r="N70" s="40" t="str">
        <x:v>2026 gross capex: 325 / 335 / 345m, then sales ratios.</x:v>
      </x:c>
      <x:c r="O70" s="40" t="str">
        <x:v>2026 gross capex: 325 / 335 / 345m, then sales ratios.</x:v>
      </x:c>
    </x:row>
    <x:row r="71" ht="24" customHeight="1">
      <x:c r="A71" s="2"/>
      <x:c r="B71" s="2"/>
      <x:c r="C71" s="2" t="str">
        <x:v>Base</x:v>
      </x:c>
      <x:c r="D71" s="2"/>
      <x:c r="E71" s="4"/>
      <x:c r="F71" s="4"/>
      <x:c r="G71" s="43" t="n">
        <x:v>0.035834357554149994</x:v>
      </x:c>
      <x:c r="H71" s="43" t="n">
        <x:v>0.032</x:v>
      </x:c>
      <x:c r="I71" s="43" t="n">
        <x:v>0.031</x:v>
      </x:c>
      <x:c r="J71" s="43" t="n">
        <x:v>0.03</x:v>
      </x:c>
      <x:c r="K71" s="43" t="n">
        <x:v>0.03</x:v>
      </x:c>
      <x:c r="L71" s="2"/>
      <x:c r="M71" s="40" t="str">
        <x:v>2026 gross capex: 325 / 335 / 345m, then sales ratios.</x:v>
      </x:c>
      <x:c r="N71" s="40" t="str">
        <x:v>2026 gross capex: 325 / 335 / 345m, then sales ratios.</x:v>
      </x:c>
      <x:c r="O71" s="40" t="str">
        <x:v>2026 gross capex: 325 / 335 / 345m, then sales ratios.</x:v>
      </x:c>
    </x:row>
    <x:row r="72" ht="24" customHeight="1">
      <x:c r="A72" s="2"/>
      <x:c r="B72" s="2"/>
      <x:c r="C72" s="2" t="str">
        <x:v>Bull</x:v>
      </x:c>
      <x:c r="D72" s="2"/>
      <x:c r="E72" s="4"/>
      <x:c r="F72" s="4"/>
      <x:c r="G72" s="43" t="n">
        <x:v>0.03658313517468448</x:v>
      </x:c>
      <x:c r="H72" s="43" t="n">
        <x:v>0.034</x:v>
      </x:c>
      <x:c r="I72" s="43" t="n">
        <x:v>0.033</x:v>
      </x:c>
      <x:c r="J72" s="43" t="n">
        <x:v>0.032</x:v>
      </x:c>
      <x:c r="K72" s="43" t="n">
        <x:v>0.031</x:v>
      </x:c>
      <x:c r="L72" s="2"/>
      <x:c r="M72" s="40" t="str">
        <x:v>2026 gross capex: 325 / 335 / 345m, then sales ratios.</x:v>
      </x:c>
      <x:c r="N72" s="40" t="str">
        <x:v>2026 gross capex: 325 / 335 / 345m, then sales ratios.</x:v>
      </x:c>
      <x:c r="O72" s="40" t="str">
        <x:v>2026 gross capex: 325 / 335 / 345m, then sales ratios.</x:v>
      </x:c>
    </x:row>
    <x:row r="73" ht="22" customHeight="1">
      <x:c r="A73" s="2"/>
      <x:c r="B73" s="2"/>
      <x:c r="C73" s="2"/>
      <x:c r="D73" s="2"/>
      <x:c r="E73" s="4"/>
      <x:c r="F73" s="4"/>
      <x:c r="G73" s="4"/>
      <x:c r="H73" s="4"/>
      <x:c r="I73" s="4"/>
      <x:c r="J73" s="4"/>
      <x:c r="K73" s="4"/>
      <x:c r="L73" s="2"/>
      <x:c r="M73" s="2"/>
      <x:c r="N73" s="2"/>
      <x:c r="O73" s="2"/>
    </x:row>
    <x:row r="74" ht="22" customHeight="1">
      <x:c r="A74" s="2"/>
      <x:c r="B74" s="2"/>
      <x:c r="C74" s="2"/>
      <x:c r="D74" s="2"/>
      <x:c r="E74" s="4"/>
      <x:c r="F74" s="4"/>
      <x:c r="G74" s="4"/>
      <x:c r="H74" s="4"/>
      <x:c r="I74" s="4"/>
      <x:c r="J74" s="4"/>
      <x:c r="K74" s="4"/>
      <x:c r="L74" s="2"/>
      <x:c r="M74" s="2"/>
      <x:c r="N74" s="2"/>
      <x:c r="O74" s="2"/>
    </x:row>
    <x:row r="75" ht="26" customHeight="1">
      <x:c r="A75" s="2"/>
      <x:c r="B75" s="2"/>
      <x:c r="C75" s="26" t="str">
        <x:v>Disposal proceeds / revenue</x:v>
      </x:c>
      <x:c r="D75" s="26" t="str">
        <x:v>Disposal proceeds / revenue</x:v>
      </x:c>
      <x:c r="E75" s="27" t="str">
        <x:v>Disposal proceeds / revenue</x:v>
      </x:c>
      <x:c r="F75" s="27" t="str">
        <x:v>Disposal proceeds / revenue</x:v>
      </x:c>
      <x:c r="G75" s="27" t="str">
        <x:v>Disposal proceeds / revenue</x:v>
      </x:c>
      <x:c r="H75" s="27" t="str">
        <x:v>Disposal proceeds / revenue</x:v>
      </x:c>
      <x:c r="I75" s="27" t="str">
        <x:v>Disposal proceeds / revenue</x:v>
      </x:c>
      <x:c r="J75" s="27" t="str">
        <x:v>Disposal proceeds / revenue</x:v>
      </x:c>
      <x:c r="K75" s="27" t="str">
        <x:v>Disposal proceeds / revenue</x:v>
      </x:c>
      <x:c r="L75" s="2"/>
      <x:c r="M75" s="2"/>
      <x:c r="N75" s="2"/>
      <x:c r="O75" s="2"/>
    </x:row>
    <x:row r="76" ht="24" customHeight="1">
      <x:c r="A76" s="2"/>
      <x:c r="B76" s="2"/>
      <x:c r="C76" s="2" t="str">
        <x:v>Bear</x:v>
      </x:c>
      <x:c r="D76" s="2" t="str">
        <x:v>%</x:v>
      </x:c>
      <x:c r="E76" s="45" t="n">
        <x:f>'Model'!E138</x:f>
        <x:v>0.0016432547044791944</x:v>
      </x:c>
      <x:c r="F76" s="45" t="n">
        <x:f>'Model'!F138</x:f>
        <x:v>0.0018047680019511007</x:v>
      </x:c>
      <x:c r="G76" s="43" t="n">
        <x:v>0.0016331756774412708</x:v>
      </x:c>
      <x:c r="H76" s="43" t="n">
        <x:v>0.0018</x:v>
      </x:c>
      <x:c r="I76" s="43" t="n">
        <x:v>0.0018</x:v>
      </x:c>
      <x:c r="J76" s="43" t="n">
        <x:v>0.0018</x:v>
      </x:c>
      <x:c r="K76" s="43" t="n">
        <x:v>0.0018</x:v>
      </x:c>
      <x:c r="L76" s="2"/>
      <x:c r="M76" s="40" t="str">
        <x:v>2026 proceeds 15m. Net capex: 310 / 320 / 330m.</x:v>
      </x:c>
      <x:c r="N76" s="40" t="str">
        <x:v>2026 proceeds 15m. Net capex: 310 / 320 / 330m.</x:v>
      </x:c>
      <x:c r="O76" s="40" t="str">
        <x:v>2026 proceeds 15m. Net capex: 310 / 320 / 330m.</x:v>
      </x:c>
    </x:row>
    <x:row r="77" ht="24" customHeight="1">
      <x:c r="A77" s="2"/>
      <x:c r="B77" s="2"/>
      <x:c r="C77" s="2" t="str">
        <x:v>Base</x:v>
      </x:c>
      <x:c r="D77" s="2"/>
      <x:c r="E77" s="4"/>
      <x:c r="F77" s="4"/>
      <x:c r="G77" s="43" t="n">
        <x:v>0.0016045234725738803</x:v>
      </x:c>
      <x:c r="H77" s="43" t="n">
        <x:v>0.0018</x:v>
      </x:c>
      <x:c r="I77" s="43" t="n">
        <x:v>0.0018</x:v>
      </x:c>
      <x:c r="J77" s="43" t="n">
        <x:v>0.0018</x:v>
      </x:c>
      <x:c r="K77" s="43" t="n">
        <x:v>0.0018</x:v>
      </x:c>
      <x:c r="L77" s="2"/>
      <x:c r="M77" s="40" t="str">
        <x:v>2026 proceeds 15m. Net capex: 310 / 320 / 330m.</x:v>
      </x:c>
      <x:c r="N77" s="40" t="str">
        <x:v>2026 proceeds 15m. Net capex: 310 / 320 / 330m.</x:v>
      </x:c>
      <x:c r="O77" s="40" t="str">
        <x:v>2026 proceeds 15m. Net capex: 310 / 320 / 330m.</x:v>
      </x:c>
    </x:row>
    <x:row r="78" ht="24" customHeight="1">
      <x:c r="A78" s="2"/>
      <x:c r="B78" s="2"/>
      <x:c r="C78" s="2" t="str">
        <x:v>Bull</x:v>
      </x:c>
      <x:c r="D78" s="2"/>
      <x:c r="E78" s="4"/>
      <x:c r="F78" s="4"/>
      <x:c r="G78" s="43" t="n">
        <x:v>0.0015905710945514988</x:v>
      </x:c>
      <x:c r="H78" s="43" t="n">
        <x:v>0.0018</x:v>
      </x:c>
      <x:c r="I78" s="43" t="n">
        <x:v>0.0018</x:v>
      </x:c>
      <x:c r="J78" s="43" t="n">
        <x:v>0.0018</x:v>
      </x:c>
      <x:c r="K78" s="43" t="n">
        <x:v>0.0018</x:v>
      </x:c>
      <x:c r="L78" s="2"/>
      <x:c r="M78" s="40" t="str">
        <x:v>2026 proceeds 15m. Net capex: 310 / 320 / 330m.</x:v>
      </x:c>
      <x:c r="N78" s="40" t="str">
        <x:v>2026 proceeds 15m. Net capex: 310 / 320 / 330m.</x:v>
      </x:c>
      <x:c r="O78" s="40" t="str">
        <x:v>2026 proceeds 15m. Net capex: 310 / 320 / 330m.</x:v>
      </x:c>
    </x:row>
    <x:row r="79" ht="22" customHeight="1">
      <x:c r="A79" s="2"/>
      <x:c r="B79" s="2"/>
      <x:c r="C79" s="2"/>
      <x:c r="D79" s="2"/>
      <x:c r="E79" s="4"/>
      <x:c r="F79" s="4"/>
      <x:c r="G79" s="4"/>
      <x:c r="H79" s="4"/>
      <x:c r="I79" s="4"/>
      <x:c r="J79" s="4"/>
      <x:c r="K79" s="4"/>
      <x:c r="L79" s="2"/>
      <x:c r="M79" s="2"/>
      <x:c r="N79" s="2"/>
      <x:c r="O79" s="2"/>
    </x:row>
    <x:row r="80" ht="22" customHeight="1">
      <x:c r="A80" s="2"/>
      <x:c r="B80" s="2"/>
      <x:c r="C80" s="2"/>
      <x:c r="D80" s="2"/>
      <x:c r="E80" s="4"/>
      <x:c r="F80" s="4"/>
      <x:c r="G80" s="4"/>
      <x:c r="H80" s="4"/>
      <x:c r="I80" s="4"/>
      <x:c r="J80" s="4"/>
      <x:c r="K80" s="4"/>
      <x:c r="L80" s="2"/>
      <x:c r="M80" s="2"/>
      <x:c r="N80" s="2"/>
      <x:c r="O80" s="2"/>
    </x:row>
    <x:row r="81" ht="26" customHeight="1">
      <x:c r="A81" s="2"/>
      <x:c r="B81" s="2"/>
      <x:c r="C81" s="26" t="str">
        <x:v>Net interest income / (expense)</x:v>
      </x:c>
      <x:c r="D81" s="26" t="str">
        <x:v>Net interest income / (expense)</x:v>
      </x:c>
      <x:c r="E81" s="27" t="str">
        <x:v>Net interest income / (expense)</x:v>
      </x:c>
      <x:c r="F81" s="27" t="str">
        <x:v>Net interest income / (expense)</x:v>
      </x:c>
      <x:c r="G81" s="27" t="str">
        <x:v>Net interest income / (expense)</x:v>
      </x:c>
      <x:c r="H81" s="27" t="str">
        <x:v>Net interest income / (expense)</x:v>
      </x:c>
      <x:c r="I81" s="27" t="str">
        <x:v>Net interest income / (expense)</x:v>
      </x:c>
      <x:c r="J81" s="27" t="str">
        <x:v>Net interest income / (expense)</x:v>
      </x:c>
      <x:c r="K81" s="27" t="str">
        <x:v>Net interest income / (expense)</x:v>
      </x:c>
      <x:c r="L81" s="2"/>
      <x:c r="M81" s="2"/>
      <x:c r="N81" s="2"/>
      <x:c r="O81" s="2"/>
    </x:row>
    <x:row r="82" ht="24" customHeight="1">
      <x:c r="A82" s="2"/>
      <x:c r="B82" s="2"/>
      <x:c r="C82" s="2" t="str">
        <x:v>Bear</x:v>
      </x:c>
      <x:c r="D82" s="2" t="str">
        <x:v>$m</x:v>
      </x:c>
      <x:c r="E82" s="39" t="n">
        <x:f>'Model'!E106</x:f>
        <x:v>-1.8999999999999995</x:v>
      </x:c>
      <x:c r="F82" s="39" t="n">
        <x:f>'Model'!F106</x:f>
        <x:v>-0.7000000000000002</x:v>
      </x:c>
      <x:c r="G82" s="42" t="n">
        <x:v>0</x:v>
      </x:c>
      <x:c r="H82" s="42" t="n">
        <x:v>0</x:v>
      </x:c>
      <x:c r="I82" s="42" t="n">
        <x:v>0</x:v>
      </x:c>
      <x:c r="J82" s="42" t="n">
        <x:v>0</x:v>
      </x:c>
      <x:c r="K82" s="42" t="n">
        <x:v>0</x:v>
      </x:c>
      <x:c r="L82" s="2"/>
      <x:c r="M82" s="40" t="str">
        <x:v>Neutral financing assumption. No debt or cash-interest build.</x:v>
      </x:c>
      <x:c r="N82" s="40" t="str">
        <x:v>Neutral financing assumption. No debt or cash-interest build.</x:v>
      </x:c>
      <x:c r="O82" s="40" t="str">
        <x:v>Neutral financing assumption. No debt or cash-interest build.</x:v>
      </x:c>
    </x:row>
    <x:row r="83" ht="24" customHeight="1">
      <x:c r="A83" s="2"/>
      <x:c r="B83" s="2"/>
      <x:c r="C83" s="2" t="str">
        <x:v>Base</x:v>
      </x:c>
      <x:c r="D83" s="2"/>
      <x:c r="E83" s="4"/>
      <x:c r="F83" s="4"/>
      <x:c r="G83" s="42" t="n">
        <x:v>0</x:v>
      </x:c>
      <x:c r="H83" s="42" t="n">
        <x:v>0</x:v>
      </x:c>
      <x:c r="I83" s="42" t="n">
        <x:v>0</x:v>
      </x:c>
      <x:c r="J83" s="42" t="n">
        <x:v>0</x:v>
      </x:c>
      <x:c r="K83" s="42" t="n">
        <x:v>0</x:v>
      </x:c>
      <x:c r="L83" s="2"/>
      <x:c r="M83" s="40" t="str">
        <x:v>Neutral financing assumption. No debt or cash-interest build.</x:v>
      </x:c>
      <x:c r="N83" s="40" t="str">
        <x:v>Neutral financing assumption. No debt or cash-interest build.</x:v>
      </x:c>
      <x:c r="O83" s="40" t="str">
        <x:v>Neutral financing assumption. No debt or cash-interest build.</x:v>
      </x:c>
    </x:row>
    <x:row r="84" ht="24" customHeight="1">
      <x:c r="A84" s="2"/>
      <x:c r="B84" s="2"/>
      <x:c r="C84" s="2" t="str">
        <x:v>Bull</x:v>
      </x:c>
      <x:c r="D84" s="2"/>
      <x:c r="E84" s="4"/>
      <x:c r="F84" s="4"/>
      <x:c r="G84" s="42" t="n">
        <x:v>0</x:v>
      </x:c>
      <x:c r="H84" s="42" t="n">
        <x:v>0</x:v>
      </x:c>
      <x:c r="I84" s="42" t="n">
        <x:v>0</x:v>
      </x:c>
      <x:c r="J84" s="42" t="n">
        <x:v>0</x:v>
      </x:c>
      <x:c r="K84" s="42" t="n">
        <x:v>0</x:v>
      </x:c>
      <x:c r="L84" s="2"/>
      <x:c r="M84" s="40" t="str">
        <x:v>Neutral financing assumption. No debt or cash-interest build.</x:v>
      </x:c>
      <x:c r="N84" s="40" t="str">
        <x:v>Neutral financing assumption. No debt or cash-interest build.</x:v>
      </x:c>
      <x:c r="O84" s="40" t="str">
        <x:v>Neutral financing assumption. No debt or cash-interest build.</x:v>
      </x:c>
    </x:row>
    <x:row r="85" ht="22" customHeight="1">
      <x:c r="A85" s="2"/>
      <x:c r="B85" s="2"/>
      <x:c r="C85" s="2"/>
      <x:c r="D85" s="2"/>
      <x:c r="E85" s="4"/>
      <x:c r="F85" s="4"/>
      <x:c r="G85" s="4"/>
      <x:c r="H85" s="4"/>
      <x:c r="I85" s="4"/>
      <x:c r="J85" s="4"/>
      <x:c r="K85" s="4"/>
      <x:c r="L85" s="2"/>
      <x:c r="M85" s="2"/>
      <x:c r="N85" s="2"/>
      <x:c r="O85" s="2"/>
    </x:row>
    <x:row r="86" ht="22" customHeight="1">
      <x:c r="A86" s="2"/>
      <x:c r="B86" s="2"/>
      <x:c r="C86" s="2"/>
      <x:c r="D86" s="2"/>
      <x:c r="E86" s="4"/>
      <x:c r="F86" s="4"/>
      <x:c r="G86" s="4"/>
      <x:c r="H86" s="4"/>
      <x:c r="I86" s="4"/>
      <x:c r="J86" s="4"/>
      <x:c r="K86" s="4"/>
      <x:c r="L86" s="2"/>
      <x:c r="M86" s="2"/>
      <x:c r="N86" s="2"/>
      <x:c r="O86" s="2"/>
    </x:row>
    <x:row r="87" ht="26" customHeight="1">
      <x:c r="A87" s="2"/>
      <x:c r="B87" s="2"/>
      <x:c r="C87" s="26" t="str">
        <x:v>Diluted weighted-average shares</x:v>
      </x:c>
      <x:c r="D87" s="26" t="str">
        <x:v>Diluted weighted-average shares</x:v>
      </x:c>
      <x:c r="E87" s="27" t="str">
        <x:v>Diluted weighted-average shares</x:v>
      </x:c>
      <x:c r="F87" s="27" t="str">
        <x:v>Diluted weighted-average shares</x:v>
      </x:c>
      <x:c r="G87" s="27" t="str">
        <x:v>Diluted weighted-average shares</x:v>
      </x:c>
      <x:c r="H87" s="27" t="str">
        <x:v>Diluted weighted-average shares</x:v>
      </x:c>
      <x:c r="I87" s="27" t="str">
        <x:v>Diluted weighted-average shares</x:v>
      </x:c>
      <x:c r="J87" s="27" t="str">
        <x:v>Diluted weighted-average shares</x:v>
      </x:c>
      <x:c r="K87" s="27" t="str">
        <x:v>Diluted weighted-average shares</x:v>
      </x:c>
      <x:c r="L87" s="2"/>
      <x:c r="M87" s="2"/>
      <x:c r="N87" s="2"/>
      <x:c r="O87" s="2"/>
    </x:row>
    <x:row r="88" ht="24" customHeight="1">
      <x:c r="A88" s="2"/>
      <x:c r="B88" s="2"/>
      <x:c r="C88" s="2" t="str">
        <x:v>Bear</x:v>
      </x:c>
      <x:c r="D88" s="2" t="str">
        <x:v>m</x:v>
      </x:c>
      <x:c r="E88" s="39" t="n">
        <x:f>'Model'!E111</x:f>
        <x:v>1148.6</x:v>
      </x:c>
      <x:c r="F88" s="39" t="n">
        <x:f>'Model'!F111</x:f>
        <x:v>1150.3</x:v>
      </x:c>
      <x:c r="G88" s="42" t="n">
        <x:v>1150.6</x:v>
      </x:c>
      <x:c r="H88" s="42" t="n">
        <x:v>1150.6</x:v>
      </x:c>
      <x:c r="I88" s="42" t="n">
        <x:v>1150.6</x:v>
      </x:c>
      <x:c r="J88" s="42" t="n">
        <x:v>1150.6</x:v>
      </x:c>
      <x:c r="K88" s="42" t="n">
        <x:v>1150.6</x:v>
      </x:c>
      <x:c r="L88" s="2"/>
      <x:c r="M88" s="40" t="str">
        <x:v>H1 2026 share base held flat. No assumed buyback uplift.</x:v>
      </x:c>
      <x:c r="N88" s="40" t="str">
        <x:v>H1 2026 share base held flat. No assumed buyback uplift.</x:v>
      </x:c>
      <x:c r="O88" s="40" t="str">
        <x:v>H1 2026 share base held flat. No assumed buyback uplift.</x:v>
      </x:c>
    </x:row>
    <x:row r="89" ht="24" customHeight="1">
      <x:c r="A89" s="2"/>
      <x:c r="B89" s="2"/>
      <x:c r="C89" s="2" t="str">
        <x:v>Base</x:v>
      </x:c>
      <x:c r="D89" s="2"/>
      <x:c r="E89" s="4"/>
      <x:c r="F89" s="4"/>
      <x:c r="G89" s="42" t="n">
        <x:v>1150.6</x:v>
      </x:c>
      <x:c r="H89" s="42" t="n">
        <x:v>1150.6</x:v>
      </x:c>
      <x:c r="I89" s="42" t="n">
        <x:v>1150.6</x:v>
      </x:c>
      <x:c r="J89" s="42" t="n">
        <x:v>1150.6</x:v>
      </x:c>
      <x:c r="K89" s="42" t="n">
        <x:v>1150.6</x:v>
      </x:c>
      <x:c r="L89" s="2"/>
      <x:c r="M89" s="40" t="str">
        <x:v>H1 2026 share base held flat. No assumed buyback uplift.</x:v>
      </x:c>
      <x:c r="N89" s="40" t="str">
        <x:v>H1 2026 share base held flat. No assumed buyback uplift.</x:v>
      </x:c>
      <x:c r="O89" s="40" t="str">
        <x:v>H1 2026 share base held flat. No assumed buyback uplift.</x:v>
      </x:c>
    </x:row>
    <x:row r="90" ht="24" customHeight="1">
      <x:c r="A90" s="2"/>
      <x:c r="B90" s="2"/>
      <x:c r="C90" s="2" t="str">
        <x:v>Bull</x:v>
      </x:c>
      <x:c r="D90" s="2"/>
      <x:c r="E90" s="4"/>
      <x:c r="F90" s="4"/>
      <x:c r="G90" s="42" t="n">
        <x:v>1150.6</x:v>
      </x:c>
      <x:c r="H90" s="42" t="n">
        <x:v>1150.6</x:v>
      </x:c>
      <x:c r="I90" s="42" t="n">
        <x:v>1150.6</x:v>
      </x:c>
      <x:c r="J90" s="42" t="n">
        <x:v>1150.6</x:v>
      </x:c>
      <x:c r="K90" s="42" t="n">
        <x:v>1150.6</x:v>
      </x:c>
      <x:c r="L90" s="2"/>
      <x:c r="M90" s="40" t="str">
        <x:v>H1 2026 share base held flat. No assumed buyback uplift.</x:v>
      </x:c>
      <x:c r="N90" s="40" t="str">
        <x:v>H1 2026 share base held flat. No assumed buyback uplift.</x:v>
      </x:c>
      <x:c r="O90" s="40" t="str">
        <x:v>H1 2026 share base held flat. No assumed buyback uplift.</x:v>
      </x:c>
    </x:row>
    <x:row r="91" ht="22" customHeight="1">
      <x:c r="A91" s="2"/>
      <x:c r="B91" s="2"/>
      <x:c r="C91" s="2"/>
      <x:c r="D91" s="2"/>
      <x:c r="E91" s="4"/>
      <x:c r="F91" s="4"/>
      <x:c r="G91" s="4"/>
      <x:c r="H91" s="4"/>
      <x:c r="I91" s="4"/>
      <x:c r="J91" s="4"/>
      <x:c r="K91" s="4"/>
      <x:c r="L91" s="2"/>
      <x:c r="M91" s="2"/>
      <x:c r="N91" s="2"/>
      <x:c r="O91" s="2"/>
    </x:row>
    <x:row r="92" ht="22" customHeight="1">
      <x:c r="A92" s="2"/>
      <x:c r="B92" s="2"/>
      <x:c r="C92" s="2"/>
      <x:c r="D92" s="2"/>
      <x:c r="E92" s="4"/>
      <x:c r="F92" s="4"/>
      <x:c r="G92" s="4"/>
      <x:c r="H92" s="4"/>
      <x:c r="I92" s="4"/>
      <x:c r="J92" s="4"/>
      <x:c r="K92" s="4"/>
      <x:c r="L92" s="2"/>
      <x:c r="M92" s="2"/>
      <x:c r="N92" s="2"/>
      <x:c r="O92" s="2"/>
    </x:row>
    <x:row r="93" ht="22" customHeight="1">
      <x:c r="A93" s="2"/>
      <x:c r="B93" s="2"/>
      <x:c r="C93" s="2"/>
      <x:c r="D93" s="2"/>
      <x:c r="E93" s="4"/>
      <x:c r="F93" s="4"/>
      <x:c r="G93" s="4"/>
      <x:c r="H93" s="4"/>
      <x:c r="I93" s="4"/>
      <x:c r="J93" s="4"/>
      <x:c r="K93" s="4"/>
      <x:c r="L93" s="2"/>
      <x:c r="M93" s="2"/>
      <x:c r="N93" s="2"/>
      <x:c r="O93" s="2"/>
    </x:row>
    <x:row r="94" ht="22" customHeight="1">
      <x:c r="A94" s="2"/>
      <x:c r="B94" s="2"/>
      <x:c r="C94" s="2"/>
      <x:c r="D94" s="2"/>
      <x:c r="E94" s="4"/>
      <x:c r="F94" s="4"/>
      <x:c r="G94" s="4"/>
      <x:c r="H94" s="4"/>
      <x:c r="I94" s="4"/>
      <x:c r="J94" s="4"/>
      <x:c r="K94" s="4"/>
      <x:c r="L94" s="2"/>
      <x:c r="M94" s="2"/>
      <x:c r="N94" s="2"/>
      <x:c r="O94" s="2"/>
    </x:row>
    <x:row r="95" ht="22" customHeight="1">
      <x:c r="A95" s="2"/>
      <x:c r="B95" s="2"/>
      <x:c r="C95" s="2"/>
      <x:c r="D95" s="2"/>
      <x:c r="E95" s="4"/>
      <x:c r="F95" s="4"/>
      <x:c r="G95" s="4"/>
      <x:c r="H95" s="4"/>
      <x:c r="I95" s="4"/>
      <x:c r="J95" s="4"/>
      <x:c r="K95" s="4"/>
      <x:c r="L95" s="2"/>
      <x:c r="M95" s="2"/>
      <x:c r="N95" s="2"/>
      <x:c r="O95" s="2"/>
    </x:row>
    <x:row r="96" ht="22" customHeight="1">
      <x:c r="A96" s="2"/>
      <x:c r="B96" s="2"/>
      <x:c r="C96" s="2"/>
      <x:c r="D96" s="2"/>
      <x:c r="E96" s="4"/>
      <x:c r="F96" s="4"/>
      <x:c r="G96" s="4"/>
      <x:c r="H96" s="4"/>
      <x:c r="I96" s="4"/>
      <x:c r="J96" s="4"/>
      <x:c r="K96" s="4"/>
      <x:c r="L96" s="2"/>
      <x:c r="M96" s="2"/>
      <x:c r="N96" s="2"/>
      <x:c r="O96" s="2"/>
    </x:row>
    <x:row r="97" ht="22" customHeight="1">
      <x:c r="A97" s="2"/>
      <x:c r="B97" s="2"/>
      <x:c r="C97" s="2"/>
      <x:c r="D97" s="2"/>
      <x:c r="E97" s="4"/>
      <x:c r="F97" s="4"/>
      <x:c r="G97" s="4"/>
      <x:c r="H97" s="4"/>
      <x:c r="I97" s="4"/>
      <x:c r="J97" s="4"/>
      <x:c r="K97" s="4"/>
      <x:c r="L97" s="2"/>
      <x:c r="M97" s="2"/>
      <x:c r="N97" s="2"/>
      <x:c r="O97" s="2"/>
    </x:row>
    <x:row r="98" ht="22" customHeight="1">
      <x:c r="A98" s="2"/>
      <x:c r="B98" s="2"/>
      <x:c r="C98" s="2"/>
      <x:c r="D98" s="2"/>
      <x:c r="E98" s="4"/>
      <x:c r="F98" s="4"/>
      <x:c r="G98" s="4"/>
      <x:c r="H98" s="4"/>
      <x:c r="I98" s="4"/>
      <x:c r="J98" s="4"/>
      <x:c r="K98" s="4"/>
      <x:c r="L98" s="2"/>
      <x:c r="M98" s="2"/>
      <x:c r="N98" s="2"/>
      <x:c r="O98" s="2"/>
    </x:row>
    <x:row r="99" ht="22" customHeight="1">
      <x:c r="A99" s="2"/>
      <x:c r="B99" s="2"/>
      <x:c r="C99" s="2"/>
      <x:c r="D99" s="2"/>
      <x:c r="E99" s="4"/>
      <x:c r="F99" s="4"/>
      <x:c r="G99" s="4"/>
      <x:c r="H99" s="4"/>
      <x:c r="I99" s="4"/>
      <x:c r="J99" s="4"/>
      <x:c r="K99" s="4"/>
      <x:c r="L99" s="2"/>
      <x:c r="M99" s="2"/>
      <x:c r="N99" s="2"/>
      <x:c r="O99" s="2"/>
    </x:row>
    <x:row r="100" ht="22" customHeight="1">
      <x:c r="A100" s="2"/>
      <x:c r="B100" s="2"/>
      <x:c r="C100" s="2"/>
      <x:c r="D100" s="2"/>
      <x:c r="E100" s="4"/>
      <x:c r="F100" s="4"/>
      <x:c r="G100" s="4"/>
      <x:c r="H100" s="4"/>
      <x:c r="I100" s="4"/>
      <x:c r="J100" s="4"/>
      <x:c r="K100" s="4"/>
      <x:c r="L100" s="2"/>
      <x:c r="M100" s="2"/>
      <x:c r="N100" s="2"/>
      <x:c r="O100" s="2"/>
    </x:row>
  </x:sheetData>
  <x:mergeCells>
    <x:mergeCell ref="C2:K2"/>
    <x:mergeCell ref="C4:O4"/>
    <x:mergeCell ref="C9:K9"/>
    <x:mergeCell ref="M10:O12"/>
    <x:mergeCell ref="C15:K15"/>
    <x:mergeCell ref="M16:O18"/>
    <x:mergeCell ref="C21:K21"/>
    <x:mergeCell ref="M22:O24"/>
    <x:mergeCell ref="C27:K27"/>
    <x:mergeCell ref="M28:O30"/>
    <x:mergeCell ref="C33:K33"/>
    <x:mergeCell ref="M34:O36"/>
    <x:mergeCell ref="C39:K39"/>
    <x:mergeCell ref="M40:O42"/>
    <x:mergeCell ref="C45:K45"/>
    <x:mergeCell ref="M46:O48"/>
    <x:mergeCell ref="C51:K51"/>
    <x:mergeCell ref="M52:O54"/>
    <x:mergeCell ref="C57:K57"/>
    <x:mergeCell ref="M58:O60"/>
    <x:mergeCell ref="C63:K63"/>
    <x:mergeCell ref="M64:O66"/>
    <x:mergeCell ref="C69:K69"/>
    <x:mergeCell ref="M70:O72"/>
    <x:mergeCell ref="C75:K75"/>
    <x:mergeCell ref="M76:O78"/>
    <x:mergeCell ref="C81:K81"/>
    <x:mergeCell ref="M82:O84"/>
    <x:mergeCell ref="C87:K87"/>
    <x:mergeCell ref="M88:O90"/>
  </x:mergeCells>
  <x:dataValidations count="42">
    <x:dataValidation type="decimal" operator="between" sqref="G10:K10">
      <x:formula1>-0.95</x:formula1>
      <x:formula2>1</x:formula2>
    </x:dataValidation>
    <x:dataValidation type="decimal" operator="between" sqref="G11:K11">
      <x:formula1>-0.95</x:formula1>
      <x:formula2>1</x:formula2>
    </x:dataValidation>
    <x:dataValidation type="decimal" operator="between" sqref="G12:K12">
      <x:formula1>-0.95</x:formula1>
      <x:formula2>1</x:formula2>
    </x:dataValidation>
    <x:dataValidation type="decimal" operator="between" sqref="G16:K16">
      <x:formula1>0</x:formula1>
      <x:formula2>1</x:formula2>
    </x:dataValidation>
    <x:dataValidation type="decimal" operator="between" sqref="G17:K17">
      <x:formula1>0</x:formula1>
      <x:formula2>1</x:formula2>
    </x:dataValidation>
    <x:dataValidation type="decimal" operator="between" sqref="G18:K18">
      <x:formula1>0</x:formula1>
      <x:formula2>1</x:formula2>
    </x:dataValidation>
    <x:dataValidation type="decimal" operator="between" sqref="G22:K22">
      <x:formula1>0</x:formula1>
      <x:formula2>1</x:formula2>
    </x:dataValidation>
    <x:dataValidation type="decimal" operator="between" sqref="G23:K23">
      <x:formula1>0</x:formula1>
      <x:formula2>1</x:formula2>
    </x:dataValidation>
    <x:dataValidation type="decimal" operator="between" sqref="G24:K24">
      <x:formula1>0</x:formula1>
      <x:formula2>1</x:formula2>
    </x:dataValidation>
    <x:dataValidation type="decimal" operator="between" sqref="G28:K28">
      <x:formula1>0</x:formula1>
      <x:formula2>1</x:formula2>
    </x:dataValidation>
    <x:dataValidation type="decimal" operator="between" sqref="G29:K29">
      <x:formula1>0</x:formula1>
      <x:formula2>1</x:formula2>
    </x:dataValidation>
    <x:dataValidation type="decimal" operator="between" sqref="G30:K30">
      <x:formula1>0</x:formula1>
      <x:formula2>1</x:formula2>
    </x:dataValidation>
    <x:dataValidation type="decimal" operator="between" sqref="G34:K34">
      <x:formula1>0</x:formula1>
      <x:formula2>365</x:formula2>
    </x:dataValidation>
    <x:dataValidation type="decimal" operator="between" sqref="G35:K35">
      <x:formula1>0</x:formula1>
      <x:formula2>365</x:formula2>
    </x:dataValidation>
    <x:dataValidation type="decimal" operator="between" sqref="G36:K36">
      <x:formula1>0</x:formula1>
      <x:formula2>365</x:formula2>
    </x:dataValidation>
    <x:dataValidation type="decimal" operator="between" sqref="G40:K40">
      <x:formula1>0</x:formula1>
      <x:formula2>365</x:formula2>
    </x:dataValidation>
    <x:dataValidation type="decimal" operator="between" sqref="G41:K41">
      <x:formula1>0</x:formula1>
      <x:formula2>365</x:formula2>
    </x:dataValidation>
    <x:dataValidation type="decimal" operator="between" sqref="G42:K42">
      <x:formula1>0</x:formula1>
      <x:formula2>365</x:formula2>
    </x:dataValidation>
    <x:dataValidation type="decimal" operator="between" sqref="G46:K46">
      <x:formula1>0</x:formula1>
      <x:formula2>365</x:formula2>
    </x:dataValidation>
    <x:dataValidation type="decimal" operator="between" sqref="G47:K47">
      <x:formula1>0</x:formula1>
      <x:formula2>365</x:formula2>
    </x:dataValidation>
    <x:dataValidation type="decimal" operator="between" sqref="G48:K48">
      <x:formula1>0</x:formula1>
      <x:formula2>365</x:formula2>
    </x:dataValidation>
    <x:dataValidation type="decimal" operator="between" sqref="G52:K52">
      <x:formula1>-0.5</x:formula1>
      <x:formula2>1</x:formula2>
    </x:dataValidation>
    <x:dataValidation type="decimal" operator="between" sqref="G53:K53">
      <x:formula1>-0.5</x:formula1>
      <x:formula2>1</x:formula2>
    </x:dataValidation>
    <x:dataValidation type="decimal" operator="between" sqref="G54:K54">
      <x:formula1>-0.5</x:formula1>
      <x:formula2>1</x:formula2>
    </x:dataValidation>
    <x:dataValidation type="decimal" operator="between" sqref="G58:K58">
      <x:formula1>0</x:formula1>
      <x:formula2>1</x:formula2>
    </x:dataValidation>
    <x:dataValidation type="decimal" operator="between" sqref="G59:K59">
      <x:formula1>0</x:formula1>
      <x:formula2>1</x:formula2>
    </x:dataValidation>
    <x:dataValidation type="decimal" operator="between" sqref="G60:K60">
      <x:formula1>0</x:formula1>
      <x:formula2>1</x:formula2>
    </x:dataValidation>
    <x:dataValidation type="decimal" operator="between" sqref="G64:K64">
      <x:formula1>0</x:formula1>
      <x:formula2>1</x:formula2>
    </x:dataValidation>
    <x:dataValidation type="decimal" operator="between" sqref="G65:K65">
      <x:formula1>0</x:formula1>
      <x:formula2>1</x:formula2>
    </x:dataValidation>
    <x:dataValidation type="decimal" operator="between" sqref="G66:K66">
      <x:formula1>0</x:formula1>
      <x:formula2>1</x:formula2>
    </x:dataValidation>
    <x:dataValidation type="decimal" operator="between" sqref="G70:K70">
      <x:formula1>0</x:formula1>
      <x:formula2>1</x:formula2>
    </x:dataValidation>
    <x:dataValidation type="decimal" operator="between" sqref="G71:K71">
      <x:formula1>0</x:formula1>
      <x:formula2>1</x:formula2>
    </x:dataValidation>
    <x:dataValidation type="decimal" operator="between" sqref="G72:K72">
      <x:formula1>0</x:formula1>
      <x:formula2>1</x:formula2>
    </x:dataValidation>
    <x:dataValidation type="decimal" operator="between" sqref="G76:K76">
      <x:formula1>0</x:formula1>
      <x:formula2>1</x:formula2>
    </x:dataValidation>
    <x:dataValidation type="decimal" operator="between" sqref="G77:K77">
      <x:formula1>0</x:formula1>
      <x:formula2>1</x:formula2>
    </x:dataValidation>
    <x:dataValidation type="decimal" operator="between" sqref="G78:K78">
      <x:formula1>0</x:formula1>
      <x:formula2>1</x:formula2>
    </x:dataValidation>
    <x:dataValidation type="decimal" operator="between" sqref="G82:K82">
      <x:formula1>-1000</x:formula1>
      <x:formula2>1000</x:formula2>
    </x:dataValidation>
    <x:dataValidation type="decimal" operator="between" sqref="G83:K83">
      <x:formula1>-1000</x:formula1>
      <x:formula2>1000</x:formula2>
    </x:dataValidation>
    <x:dataValidation type="decimal" operator="between" sqref="G84:K84">
      <x:formula1>-1000</x:formula1>
      <x:formula2>1000</x:formula2>
    </x:dataValidation>
    <x:dataValidation type="decimal" operator="between" sqref="G88:K88">
      <x:formula1>0</x:formula1>
      <x:formula2>10000</x:formula2>
    </x:dataValidation>
    <x:dataValidation type="decimal" operator="between" sqref="G89:K89">
      <x:formula1>0</x:formula1>
      <x:formula2>10000</x:formula2>
    </x:dataValidation>
    <x:dataValidation type="decimal" operator="between" sqref="G90:K90">
      <x:formula1>0</x:formula1>
      <x:formula2>10000</x:formula2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xSplit="4" ySplit="7" topLeftCell="E8" activePane="bottomRight" state="frozen"/>
    </x:sheetView>
  </x:sheetViews>
  <x:sheetFormatPr defaultRowHeight="15"/>
  <x:cols>
    <x:col min="1" max="1" width="2.200000047683716" hidden="0" customWidth="1"/>
    <x:col min="2" max="2" width="2.200000047683716" hidden="0" customWidth="1"/>
    <x:col min="3" max="3" width="35" hidden="0" customWidth="1"/>
    <x:col min="4" max="4" width="9" hidden="0" customWidth="1"/>
    <x:col min="5" max="5" width="13" hidden="0" customWidth="1"/>
    <x:col min="6" max="6" width="13" hidden="0" customWidth="1"/>
    <x:col min="7" max="7" width="13" hidden="0" customWidth="1"/>
    <x:col min="8" max="8" width="13" hidden="0" customWidth="1"/>
    <x:col min="9" max="9" width="13" hidden="0" customWidth="1"/>
    <x:col min="10" max="10" width="13" hidden="0" customWidth="1"/>
    <x:col min="11" max="11" width="13" hidden="0" customWidth="1"/>
    <x:col min="12" max="12" width="3" hidden="0" customWidth="1"/>
    <x:col min="13" max="13" width="17" hidden="0" customWidth="1"/>
    <x:col min="14" max="14" width="17" hidden="0" customWidth="1"/>
    <x:col min="15" max="15" width="17" hidden="0" customWidth="1"/>
  </x:cols>
  <x:sheetData>
    <x:row r="1" ht="22" customHeight="1">
      <x:c r="A1" s="2"/>
      <x:c r="B1" s="2"/>
      <x:c r="C1" s="2"/>
      <x:c r="D1" s="2"/>
      <x:c r="E1" s="4"/>
      <x:c r="F1" s="4"/>
      <x:c r="G1" s="4"/>
      <x:c r="H1" s="4"/>
      <x:c r="I1" s="4"/>
      <x:c r="J1" s="4"/>
      <x:c r="K1" s="4"/>
      <x:c r="L1" s="2"/>
      <x:c r="M1" s="2"/>
      <x:c r="N1" s="2"/>
      <x:c r="O1" s="2"/>
    </x:row>
    <x:row r="2" ht="24" customHeight="1">
      <x:c r="A2" s="2"/>
      <x:c r="B2" s="2"/>
      <x:c r="C2" s="9" t="str">
        <x:v>Operating model and cash conversion</x:v>
      </x:c>
      <x:c r="D2" s="9" t="str">
        <x:v>Operating model and cash conversion</x:v>
      </x:c>
      <x:c r="E2" s="10" t="str">
        <x:v>Operating model and cash conversion</x:v>
      </x:c>
      <x:c r="F2" s="10" t="str">
        <x:v>Operating model and cash conversion</x:v>
      </x:c>
      <x:c r="G2" s="10" t="str">
        <x:v>Operating model and cash conversion</x:v>
      </x:c>
      <x:c r="H2" s="10" t="str">
        <x:v>Operating model and cash conversion</x:v>
      </x:c>
      <x:c r="I2" s="10" t="str">
        <x:v>Operating model and cash conversion</x:v>
      </x:c>
      <x:c r="J2" s="10" t="str">
        <x:v>Operating model and cash conversion</x:v>
      </x:c>
      <x:c r="K2" s="10" t="str">
        <x:v>Operating model and cash conversion</x:v>
      </x:c>
      <x:c r="L2" s="2"/>
      <x:c r="M2" s="2"/>
      <x:c r="N2" s="2"/>
      <x:c r="O2" s="2"/>
    </x:row>
    <x:row r="3" ht="22" customHeight="1">
      <x:c r="A3" s="2"/>
      <x:c r="B3" s="2"/>
      <x:c r="C3" s="5"/>
      <x:c r="D3" s="5"/>
      <x:c r="E3" s="6"/>
      <x:c r="F3" s="6"/>
      <x:c r="G3" s="6"/>
      <x:c r="H3" s="6"/>
      <x:c r="I3" s="6"/>
      <x:c r="J3" s="6"/>
      <x:c r="K3" s="6"/>
      <x:c r="L3" s="2"/>
      <x:c r="M3" s="2"/>
      <x:c r="N3" s="2"/>
      <x:c r="O3" s="2"/>
    </x:row>
    <x:row r="4" ht="24" customHeight="1">
      <x:c r="A4" s="2"/>
      <x:c r="B4" s="2"/>
      <x:c r="C4" s="13" t="str">
        <x:v>Three visible case calculations. USD millions unless stated. A = reported actual; E = illustrative estimate.</x:v>
      </x:c>
      <x:c r="D4" s="13" t="str">
        <x:v>Three visible case calculations. USD millions unless stated. A = reported actual; E = illustrative estimate.</x:v>
      </x:c>
      <x:c r="E4" s="14" t="str">
        <x:v>Three visible case calculations. USD millions unless stated. A = reported actual; E = illustrative estimate.</x:v>
      </x:c>
      <x:c r="F4" s="14" t="str">
        <x:v>Three visible case calculations. USD millions unless stated. A = reported actual; E = illustrative estimate.</x:v>
      </x:c>
      <x:c r="G4" s="14" t="str">
        <x:v>Three visible case calculations. USD millions unless stated. A = reported actual; E = illustrative estimate.</x:v>
      </x:c>
      <x:c r="H4" s="14" t="str">
        <x:v>Three visible case calculations. USD millions unless stated. A = reported actual; E = illustrative estimate.</x:v>
      </x:c>
      <x:c r="I4" s="14" t="str">
        <x:v>Three visible case calculations. USD millions unless stated. A = reported actual; E = illustrative estimate.</x:v>
      </x:c>
      <x:c r="J4" s="14" t="str">
        <x:v>Three visible case calculations. USD millions unless stated. A = reported actual; E = illustrative estimate.</x:v>
      </x:c>
      <x:c r="K4" s="14" t="str">
        <x:v>Three visible case calculations. USD millions unless stated. A = reported actual; E = illustrative estimate.</x:v>
      </x:c>
      <x:c r="L4" s="13" t="str">
        <x:v>Three visible case calculations. USD millions unless stated. A = reported actual; E = illustrative estimate.</x:v>
      </x:c>
      <x:c r="M4" s="13" t="str">
        <x:v>Three visible case calculations. USD millions unless stated. A = reported actual; E = illustrative estimate.</x:v>
      </x:c>
      <x:c r="N4" s="13" t="str">
        <x:v>Three visible case calculations. USD millions unless stated. A = reported actual; E = illustrative estimate.</x:v>
      </x:c>
      <x:c r="O4" s="13" t="str">
        <x:v>Three visible case calculations. USD millions unless stated. A = reported actual; E = illustrative estimate.</x:v>
      </x:c>
    </x:row>
    <x:row r="5" ht="22" customHeight="1">
      <x:c r="A5" s="2"/>
      <x:c r="B5" s="2"/>
      <x:c r="C5" s="2"/>
      <x:c r="D5" s="2"/>
      <x:c r="E5" s="4"/>
      <x:c r="F5" s="4"/>
      <x:c r="G5" s="4"/>
      <x:c r="H5" s="4"/>
      <x:c r="I5" s="4"/>
      <x:c r="J5" s="4"/>
      <x:c r="K5" s="4"/>
      <x:c r="L5" s="2"/>
      <x:c r="M5" s="2"/>
      <x:c r="N5" s="2"/>
      <x:c r="O5" s="2"/>
    </x:row>
    <x:row r="6" ht="22" customHeight="1">
      <x:c r="A6" s="2"/>
      <x:c r="B6" s="2"/>
      <x:c r="C6" s="2"/>
      <x:c r="D6" s="2"/>
      <x:c r="E6" s="4"/>
      <x:c r="F6" s="4"/>
      <x:c r="G6" s="4"/>
      <x:c r="H6" s="4"/>
      <x:c r="I6" s="4"/>
      <x:c r="J6" s="4"/>
      <x:c r="K6" s="4"/>
      <x:c r="L6" s="2"/>
      <x:c r="M6" s="2"/>
      <x:c r="N6" s="2"/>
      <x:c r="O6" s="2"/>
    </x:row>
    <x:row r="7" ht="27" customHeight="1">
      <x:c r="A7" s="2"/>
      <x:c r="B7" s="2"/>
      <x:c r="C7" s="19" t="str">
        <x:v>Line item</x:v>
      </x:c>
      <x:c r="D7" s="19" t="str">
        <x:v>Unit</x:v>
      </x:c>
      <x:c r="E7" s="20" t="str">
        <x:v>FY2024 A</x:v>
      </x:c>
      <x:c r="F7" s="20" t="str">
        <x:v>FY2025 A</x:v>
      </x:c>
      <x:c r="G7" s="20" t="str">
        <x:v>FY2026 E</x:v>
      </x:c>
      <x:c r="H7" s="20" t="str">
        <x:v>FY2027 E</x:v>
      </x:c>
      <x:c r="I7" s="20" t="str">
        <x:v>FY2028 E</x:v>
      </x:c>
      <x:c r="J7" s="20" t="str">
        <x:v>FY2029 E</x:v>
      </x:c>
      <x:c r="K7" s="20" t="str">
        <x:v>FY2030 E</x:v>
      </x:c>
      <x:c r="L7" s="2"/>
      <x:c r="M7" s="2"/>
      <x:c r="N7" s="2"/>
      <x:c r="O7" s="2"/>
    </x:row>
    <x:row r="8" ht="26" customHeight="1">
      <x:c r="A8" s="2"/>
      <x:c r="B8" s="2"/>
      <x:c r="C8" s="26" t="str">
        <x:v>Bear case</x:v>
      </x:c>
      <x:c r="D8" s="26" t="str">
        <x:v>Bear case</x:v>
      </x:c>
      <x:c r="E8" s="27" t="str">
        <x:v>Bear case</x:v>
      </x:c>
      <x:c r="F8" s="27" t="str">
        <x:v>Bear case</x:v>
      </x:c>
      <x:c r="G8" s="27" t="str">
        <x:v>Bear case</x:v>
      </x:c>
      <x:c r="H8" s="27" t="str">
        <x:v>Bear case</x:v>
      </x:c>
      <x:c r="I8" s="27" t="str">
        <x:v>Bear case</x:v>
      </x:c>
      <x:c r="J8" s="27" t="str">
        <x:v>Bear case</x:v>
      </x:c>
      <x:c r="K8" s="27" t="str">
        <x:v>Bear case</x:v>
      </x:c>
      <x:c r="L8" s="2"/>
      <x:c r="M8" s="2"/>
      <x:c r="N8" s="2"/>
      <x:c r="O8" s="2"/>
    </x:row>
    <x:row r="9" ht="22" customHeight="1">
      <x:c r="A9" s="2"/>
      <x:c r="B9" s="2"/>
      <x:c r="C9" s="2" t="str">
        <x:v>Revenue</x:v>
      </x:c>
      <x:c r="D9" s="2" t="str">
        <x:v>$m</x:v>
      </x:c>
      <x:c r="E9" s="39" t="n">
        <x:f>'Sources'!E8</x:f>
        <x:v>7546</x:v>
      </x:c>
      <x:c r="F9" s="39" t="n">
        <x:f>'Sources'!F8</x:f>
        <x:v>8200.5</x:v>
      </x:c>
      <x:c r="G9" s="4" t="n">
        <x:f>F9*(1+G10)</x:f>
        <x:v>9184.560000000001</x:v>
      </x:c>
      <x:c r="H9" s="4" t="n">
        <x:f>G9*(1+H10)</x:f>
        <x:v>9735.633600000001</x:v>
      </x:c>
      <x:c r="I9" s="4" t="n">
        <x:f>H9*(1+I10)</x:f>
        <x:v>10125.058944000002</x:v>
      </x:c>
      <x:c r="J9" s="4" t="n">
        <x:f>I9*(1+J10)</x:f>
        <x:v>10530.061301760003</x:v>
      </x:c>
      <x:c r="K9" s="4" t="n">
        <x:f>J9*(1+K10)</x:f>
        <x:v>11056.564366848002</x:v>
      </x:c>
      <x:c r="L9" s="2"/>
      <x:c r="M9" s="2"/>
      <x:c r="N9" s="2"/>
      <x:c r="O9" s="2"/>
    </x:row>
    <x:row r="10" ht="22" customHeight="1">
      <x:c r="A10" s="2"/>
      <x:c r="B10" s="2"/>
      <x:c r="C10" s="2" t="str">
        <x:v>Revenue growth</x:v>
      </x:c>
      <x:c r="D10" s="2" t="str">
        <x:v>%</x:v>
      </x:c>
      <x:c r="E10" s="44"/>
      <x:c r="F10" s="44" t="n">
        <x:f>F9/E9-1</x:f>
        <x:v>0.08673469387755106</x:v>
      </x:c>
      <x:c r="G10" s="45" t="n">
        <x:f>IF(ISNUMBER('Assumptions'!G10),'Assumptions'!G10,NA())</x:f>
        <x:v>0.12</x:v>
      </x:c>
      <x:c r="H10" s="45" t="n">
        <x:f>IF(ISNUMBER('Assumptions'!H10),'Assumptions'!H10,NA())</x:f>
        <x:v>0.06</x:v>
      </x:c>
      <x:c r="I10" s="45" t="n">
        <x:f>IF(ISNUMBER('Assumptions'!I10),'Assumptions'!I10,NA())</x:f>
        <x:v>0.04</x:v>
      </x:c>
      <x:c r="J10" s="45" t="n">
        <x:f>IF(ISNUMBER('Assumptions'!J10),'Assumptions'!J10,NA())</x:f>
        <x:v>0.04</x:v>
      </x:c>
      <x:c r="K10" s="45" t="n">
        <x:f>IF(ISNUMBER('Assumptions'!K10),'Assumptions'!K10,NA())</x:f>
        <x:v>0.05</x:v>
      </x:c>
      <x:c r="L10" s="2"/>
      <x:c r="M10" s="2"/>
      <x:c r="N10" s="2"/>
      <x:c r="O10" s="2"/>
    </x:row>
    <x:row r="11" ht="22" customHeight="1">
      <x:c r="A11" s="2"/>
      <x:c r="B11" s="2"/>
      <x:c r="C11" s="2" t="str">
        <x:v>Cost of sales</x:v>
      </x:c>
      <x:c r="D11" s="2" t="str">
        <x:v>$m</x:v>
      </x:c>
      <x:c r="E11" s="39" t="n">
        <x:f>'Sources'!E9</x:f>
        <x:v>4144.1</x:v>
      </x:c>
      <x:c r="F11" s="39" t="n">
        <x:f>'Sources'!F9</x:f>
        <x:v>4509.3</x:v>
      </x:c>
      <x:c r="G11" s="4" t="n">
        <x:f>G9-G12</x:f>
        <x:v>5143.3536</x:v>
      </x:c>
      <x:c r="H11" s="4" t="n">
        <x:f>H9-H12</x:f>
        <x:v>5471.426083200001</x:v>
      </x:c>
      <x:c r="I11" s="4" t="n">
        <x:f>I9-I12</x:f>
        <x:v>5710.533244416001</x:v>
      </x:c>
      <x:c r="J11" s="4" t="n">
        <x:f>J9-J12</x:f>
        <x:v>5949.484635494401</x:v>
      </x:c>
      <x:c r="K11" s="4" t="n">
        <x:f>K9-K12</x:f>
        <x:v>6246.958867269122</x:v>
      </x:c>
      <x:c r="L11" s="2"/>
      <x:c r="M11" s="2"/>
      <x:c r="N11" s="2"/>
      <x:c r="O11" s="2"/>
    </x:row>
    <x:row r="12" ht="22" customHeight="1">
      <x:c r="A12" s="2"/>
      <x:c r="B12" s="2"/>
      <x:c r="C12" s="2" t="str">
        <x:v>Gross profit</x:v>
      </x:c>
      <x:c r="D12" s="2" t="str">
        <x:v>$m</x:v>
      </x:c>
      <x:c r="E12" s="39" t="n">
        <x:f>'Sources'!E10</x:f>
        <x:v>3401.9</x:v>
      </x:c>
      <x:c r="F12" s="39" t="n">
        <x:f>'Sources'!F10</x:f>
        <x:v>3691.2</x:v>
      </x:c>
      <x:c r="G12" s="4" t="n">
        <x:f>G9*G14</x:f>
        <x:v>4041.2064000000005</x:v>
      </x:c>
      <x:c r="H12" s="4" t="n">
        <x:f>H9*H14</x:f>
        <x:v>4264.2075168</x:v>
      </x:c>
      <x:c r="I12" s="4" t="n">
        <x:f>I9*I14</x:f>
        <x:v>4414.525699584001</x:v>
      </x:c>
      <x:c r="J12" s="4" t="n">
        <x:f>J9*J14</x:f>
        <x:v>4580.5766662656015</x:v>
      </x:c>
      <x:c r="K12" s="4" t="n">
        <x:f>K9*K14</x:f>
        <x:v>4809.605499578881</x:v>
      </x:c>
      <x:c r="L12" s="2"/>
      <x:c r="M12" s="2"/>
      <x:c r="N12" s="2"/>
      <x:c r="O12" s="2"/>
    </x:row>
    <x:row r="13" ht="22" customHeight="1">
      <x:c r="A13" s="2"/>
      <x:c r="B13" s="2"/>
      <x:c r="C13" s="2"/>
      <x:c r="D13" s="2"/>
      <x:c r="E13" s="4"/>
      <x:c r="F13" s="4"/>
      <x:c r="G13" s="4"/>
      <x:c r="H13" s="4"/>
      <x:c r="I13" s="4"/>
      <x:c r="J13" s="4"/>
      <x:c r="K13" s="4"/>
      <x:c r="L13" s="2"/>
      <x:c r="M13" s="2"/>
      <x:c r="N13" s="2"/>
      <x:c r="O13" s="2"/>
    </x:row>
    <x:row r="14" ht="22" customHeight="1">
      <x:c r="A14" s="2"/>
      <x:c r="B14" s="2"/>
      <x:c r="C14" s="2" t="str">
        <x:v>Gross margin</x:v>
      </x:c>
      <x:c r="D14" s="2" t="str">
        <x:v>%</x:v>
      </x:c>
      <x:c r="E14" s="44" t="n">
        <x:f>E12/E9</x:f>
        <x:v>0.45082162735223963</x:v>
      </x:c>
      <x:c r="F14" s="44" t="n">
        <x:f>F12/F9</x:f>
        <x:v>0.4501188951893177</x:v>
      </x:c>
      <x:c r="G14" s="45" t="n">
        <x:f>IF(ISNUMBER('Assumptions'!G16),'Assumptions'!G16,NA())</x:f>
        <x:v>0.44</x:v>
      </x:c>
      <x:c r="H14" s="45" t="n">
        <x:f>IF(ISNUMBER('Assumptions'!H16),'Assumptions'!H16,NA())</x:f>
        <x:v>0.438</x:v>
      </x:c>
      <x:c r="I14" s="45" t="n">
        <x:f>IF(ISNUMBER('Assumptions'!I16),'Assumptions'!I16,NA())</x:f>
        <x:v>0.436</x:v>
      </x:c>
      <x:c r="J14" s="45" t="n">
        <x:f>IF(ISNUMBER('Assumptions'!J16),'Assumptions'!J16,NA())</x:f>
        <x:v>0.435</x:v>
      </x:c>
      <x:c r="K14" s="45" t="n">
        <x:f>IF(ISNUMBER('Assumptions'!K16),'Assumptions'!K16,NA())</x:f>
        <x:v>0.435</x:v>
      </x:c>
      <x:c r="L14" s="2"/>
      <x:c r="M14" s="2"/>
      <x:c r="N14" s="2"/>
      <x:c r="O14" s="2"/>
    </x:row>
    <x:row r="15" ht="22" customHeight="1">
      <x:c r="A15" s="2"/>
      <x:c r="B15" s="2"/>
      <x:c r="C15" s="2" t="str">
        <x:v>SG&amp;A</x:v>
      </x:c>
      <x:c r="D15" s="2" t="str">
        <x:v>$m</x:v>
      </x:c>
      <x:c r="E15" s="39" t="n">
        <x:f>'Sources'!E11</x:f>
        <x:v>1891.9</x:v>
      </x:c>
      <x:c r="F15" s="39" t="n">
        <x:f>'Sources'!F11</x:f>
        <x:v>2035.5</x:v>
      </x:c>
      <x:c r="G15" s="4" t="n">
        <x:f>G9*G16</x:f>
        <x:v>2241.0326400000004</x:v>
      </x:c>
      <x:c r="H15" s="4" t="n">
        <x:f>H9*H16</x:f>
        <x:v>2375.4945984</x:v>
      </x:c>
      <x:c r="I15" s="4" t="n">
        <x:f>I9*I16</x:f>
        <x:v>2470.5143823360004</x:v>
      </x:c>
      <x:c r="J15" s="4" t="n">
        <x:f>J9*J16</x:f>
        <x:v>2548.2748350259208</x:v>
      </x:c>
      <x:c r="K15" s="4" t="n">
        <x:f>K9*K16</x:f>
        <x:v>2664.6320124103686</x:v>
      </x:c>
      <x:c r="L15" s="2"/>
      <x:c r="M15" s="2"/>
      <x:c r="N15" s="2"/>
      <x:c r="O15" s="2"/>
    </x:row>
    <x:row r="16" ht="22" customHeight="1">
      <x:c r="A16" s="2"/>
      <x:c r="B16" s="2"/>
      <x:c r="C16" s="2" t="str">
        <x:v>SG&amp;A / revenue</x:v>
      </x:c>
      <x:c r="D16" s="2" t="str">
        <x:v>%</x:v>
      </x:c>
      <x:c r="E16" s="44" t="n">
        <x:f>E15/E9</x:f>
        <x:v>0.2507156109196926</x:v>
      </x:c>
      <x:c r="F16" s="44" t="n">
        <x:f>F15/F9</x:f>
        <x:v>0.24821657216023413</x:v>
      </x:c>
      <x:c r="G16" s="45" t="n">
        <x:f>IF(ISNUMBER('Assumptions'!G22),'Assumptions'!G22,NA())</x:f>
        <x:v>0.244</x:v>
      </x:c>
      <x:c r="H16" s="45" t="n">
        <x:f>IF(ISNUMBER('Assumptions'!H22),'Assumptions'!H22,NA())</x:f>
        <x:v>0.244</x:v>
      </x:c>
      <x:c r="I16" s="45" t="n">
        <x:f>IF(ISNUMBER('Assumptions'!I22),'Assumptions'!I22,NA())</x:f>
        <x:v>0.244</x:v>
      </x:c>
      <x:c r="J16" s="45" t="n">
        <x:f>IF(ISNUMBER('Assumptions'!J22),'Assumptions'!J22,NA())</x:f>
        <x:v>0.242</x:v>
      </x:c>
      <x:c r="K16" s="45" t="n">
        <x:f>IF(ISNUMBER('Assumptions'!K22),'Assumptions'!K22,NA())</x:f>
        <x:v>0.241</x:v>
      </x:c>
      <x:c r="L16" s="2"/>
      <x:c r="M16" s="2"/>
      <x:c r="N16" s="2"/>
      <x:c r="O16" s="2"/>
    </x:row>
    <x:row r="17" ht="22" customHeight="1">
      <x:c r="A17" s="2"/>
      <x:c r="B17" s="2"/>
      <x:c r="C17" s="49" t="str">
        <x:v>Operating income</x:v>
      </x:c>
      <x:c r="D17" s="49" t="str">
        <x:v>$m</x:v>
      </x:c>
      <x:c r="E17" s="50" t="n">
        <x:f>'Sources'!E12</x:f>
        <x:v>1510</x:v>
      </x:c>
      <x:c r="F17" s="50" t="n">
        <x:f>'Sources'!F12</x:f>
        <x:v>1655.7</x:v>
      </x:c>
      <x:c r="G17" s="51" t="n">
        <x:f>G12-G15</x:f>
        <x:v>1800.1737600000001</x:v>
      </x:c>
      <x:c r="H17" s="51" t="n">
        <x:f>H12-H15</x:f>
        <x:v>1888.7129184</x:v>
      </x:c>
      <x:c r="I17" s="51" t="n">
        <x:f>I12-I15</x:f>
        <x:v>1944.0113172480005</x:v>
      </x:c>
      <x:c r="J17" s="51" t="n">
        <x:f>J12-J15</x:f>
        <x:v>2032.3018312396807</x:v>
      </x:c>
      <x:c r="K17" s="51" t="n">
        <x:f>K12-K15</x:f>
        <x:v>2144.9734871685123</x:v>
      </x:c>
      <x:c r="L17" s="2"/>
      <x:c r="M17" s="2"/>
      <x:c r="N17" s="2"/>
      <x:c r="O17" s="2"/>
    </x:row>
    <x:row r="18" ht="22" customHeight="1">
      <x:c r="A18" s="2"/>
      <x:c r="B18" s="2"/>
      <x:c r="C18" s="2" t="str">
        <x:v>Net interest income / (expense)</x:v>
      </x:c>
      <x:c r="D18" s="2" t="str">
        <x:v>$m</x:v>
      </x:c>
      <x:c r="E18" s="39" t="n">
        <x:f>'Sources'!E13-'Sources'!E14</x:f>
        <x:v>-1.8999999999999995</x:v>
      </x:c>
      <x:c r="F18" s="39" t="n">
        <x:f>'Sources'!F13-'Sources'!F14</x:f>
        <x:v>-0.7000000000000002</x:v>
      </x:c>
      <x:c r="G18" s="39" t="n">
        <x:f>IF(ISNUMBER('Assumptions'!G82),'Assumptions'!G82,NA())</x:f>
        <x:v>0</x:v>
      </x:c>
      <x:c r="H18" s="39" t="n">
        <x:f>IF(ISNUMBER('Assumptions'!H82),'Assumptions'!H82,NA())</x:f>
        <x:v>0</x:v>
      </x:c>
      <x:c r="I18" s="39" t="n">
        <x:f>IF(ISNUMBER('Assumptions'!I82),'Assumptions'!I82,NA())</x:f>
        <x:v>0</x:v>
      </x:c>
      <x:c r="J18" s="39" t="n">
        <x:f>IF(ISNUMBER('Assumptions'!J82),'Assumptions'!J82,NA())</x:f>
        <x:v>0</x:v>
      </x:c>
      <x:c r="K18" s="39" t="n">
        <x:f>IF(ISNUMBER('Assumptions'!K82),'Assumptions'!K82,NA())</x:f>
        <x:v>0</x:v>
      </x:c>
      <x:c r="L18" s="2"/>
      <x:c r="M18" s="2"/>
      <x:c r="N18" s="2"/>
      <x:c r="O18" s="2"/>
    </x:row>
    <x:row r="19" ht="22" customHeight="1">
      <x:c r="A19" s="2"/>
      <x:c r="B19" s="2"/>
      <x:c r="C19" s="2" t="str">
        <x:v>Income before taxes</x:v>
      </x:c>
      <x:c r="D19" s="2" t="str">
        <x:v>$m</x:v>
      </x:c>
      <x:c r="E19" s="39" t="n">
        <x:f>'Sources'!E15</x:f>
        <x:v>1508.1</x:v>
      </x:c>
      <x:c r="F19" s="39" t="n">
        <x:f>'Sources'!F15</x:f>
        <x:v>1655</x:v>
      </x:c>
      <x:c r="G19" s="4" t="n">
        <x:f>SUM(G17:G18)</x:f>
        <x:v>1800.1737600000001</x:v>
      </x:c>
      <x:c r="H19" s="4" t="n">
        <x:f>SUM(H17:H18)</x:f>
        <x:v>1888.7129184</x:v>
      </x:c>
      <x:c r="I19" s="4" t="n">
        <x:f>SUM(I17:I18)</x:f>
        <x:v>1944.0113172480005</x:v>
      </x:c>
      <x:c r="J19" s="4" t="n">
        <x:f>SUM(J17:J18)</x:f>
        <x:v>2032.3018312396807</x:v>
      </x:c>
      <x:c r="K19" s="4" t="n">
        <x:f>SUM(K17:K18)</x:f>
        <x:v>2144.9734871685123</x:v>
      </x:c>
      <x:c r="L19" s="2"/>
      <x:c r="M19" s="2"/>
      <x:c r="N19" s="2"/>
      <x:c r="O19" s="2"/>
    </x:row>
    <x:row r="20" ht="22" customHeight="1">
      <x:c r="A20" s="2"/>
      <x:c r="B20" s="2"/>
      <x:c r="C20" s="2" t="str">
        <x:v>Income tax expense</x:v>
      </x:c>
      <x:c r="D20" s="2" t="str">
        <x:v>$m</x:v>
      </x:c>
      <x:c r="E20" s="39" t="n">
        <x:f>'Sources'!E16</x:f>
        <x:v>357.5</x:v>
      </x:c>
      <x:c r="F20" s="39" t="n">
        <x:f>'Sources'!F16</x:f>
        <x:v>396.6</x:v>
      </x:c>
      <x:c r="G20" s="4" t="n">
        <x:f>G19*G22</x:f>
        <x:v>442.84274496</x:v>
      </x:c>
      <x:c r="H20" s="4" t="n">
        <x:f>H19*H22</x:f>
        <x:v>464.6233779264</x:v>
      </x:c>
      <x:c r="I20" s="4" t="n">
        <x:f>I19*I22</x:f>
        <x:v>478.22678404300814</x:v>
      </x:c>
      <x:c r="J20" s="4" t="n">
        <x:f>J19*J22</x:f>
        <x:v>499.94625048496147</x:v>
      </x:c>
      <x:c r="K20" s="4" t="n">
        <x:f>K19*K22</x:f>
        <x:v>527.663477843454</x:v>
      </x:c>
      <x:c r="L20" s="2"/>
      <x:c r="M20" s="2"/>
      <x:c r="N20" s="2"/>
      <x:c r="O20" s="2"/>
    </x:row>
    <x:row r="21" ht="22" customHeight="1">
      <x:c r="A21" s="2"/>
      <x:c r="B21" s="2"/>
      <x:c r="C21" s="49" t="str">
        <x:v>Net income</x:v>
      </x:c>
      <x:c r="D21" s="49" t="str">
        <x:v>$m</x:v>
      </x:c>
      <x:c r="E21" s="50" t="n">
        <x:f>'Sources'!E17</x:f>
        <x:v>1150.6</x:v>
      </x:c>
      <x:c r="F21" s="50" t="n">
        <x:f>'Sources'!F17</x:f>
        <x:v>1258.4</x:v>
      </x:c>
      <x:c r="G21" s="51" t="n">
        <x:f>G19-G20</x:f>
        <x:v>1357.3310150400002</x:v>
      </x:c>
      <x:c r="H21" s="51" t="n">
        <x:f>H19-H20</x:f>
        <x:v>1424.0895404736</x:v>
      </x:c>
      <x:c r="I21" s="51" t="n">
        <x:f>I19-I20</x:f>
        <x:v>1465.7845332049924</x:v>
      </x:c>
      <x:c r="J21" s="51" t="n">
        <x:f>J19-J20</x:f>
        <x:v>1532.3555807547193</x:v>
      </x:c>
      <x:c r="K21" s="51" t="n">
        <x:f>K19-K20</x:f>
        <x:v>1617.3100093250582</x:v>
      </x:c>
      <x:c r="L21" s="2"/>
      <x:c r="M21" s="2"/>
      <x:c r="N21" s="2"/>
      <x:c r="O21" s="2"/>
    </x:row>
    <x:row r="22" ht="22" customHeight="1">
      <x:c r="A22" s="2"/>
      <x:c r="B22" s="2"/>
      <x:c r="C22" s="2" t="str">
        <x:v>Effective tax rate</x:v>
      </x:c>
      <x:c r="D22" s="2" t="str">
        <x:v>%</x:v>
      </x:c>
      <x:c r="E22" s="44" t="n">
        <x:f>E20/E19</x:f>
        <x:v>0.23705324580598106</x:v>
      </x:c>
      <x:c r="F22" s="44" t="n">
        <x:f>F20/F19</x:f>
        <x:v>0.23963746223564955</x:v>
      </x:c>
      <x:c r="G22" s="45" t="n">
        <x:f>IF(ISNUMBER('Assumptions'!G28),'Assumptions'!G28,NA())</x:f>
        <x:v>0.246</x:v>
      </x:c>
      <x:c r="H22" s="45" t="n">
        <x:f>IF(ISNUMBER('Assumptions'!H28),'Assumptions'!H28,NA())</x:f>
        <x:v>0.246</x:v>
      </x:c>
      <x:c r="I22" s="45" t="n">
        <x:f>IF(ISNUMBER('Assumptions'!I28),'Assumptions'!I28,NA())</x:f>
        <x:v>0.246</x:v>
      </x:c>
      <x:c r="J22" s="45" t="n">
        <x:f>IF(ISNUMBER('Assumptions'!J28),'Assumptions'!J28,NA())</x:f>
        <x:v>0.246</x:v>
      </x:c>
      <x:c r="K22" s="45" t="n">
        <x:f>IF(ISNUMBER('Assumptions'!K28),'Assumptions'!K28,NA())</x:f>
        <x:v>0.246</x:v>
      </x:c>
      <x:c r="L22" s="2"/>
      <x:c r="M22" s="2"/>
      <x:c r="N22" s="2"/>
      <x:c r="O22" s="2"/>
    </x:row>
    <x:row r="23" ht="22" customHeight="1">
      <x:c r="A23" s="2"/>
      <x:c r="B23" s="2"/>
      <x:c r="C23" s="2" t="str">
        <x:v>Diluted weighted-average shares</x:v>
      </x:c>
      <x:c r="D23" s="2" t="str">
        <x:v>m</x:v>
      </x:c>
      <x:c r="E23" s="39" t="n">
        <x:f>'Sources'!E18</x:f>
        <x:v>1148.6</x:v>
      </x:c>
      <x:c r="F23" s="39" t="n">
        <x:f>'Sources'!F18</x:f>
        <x:v>1150.3</x:v>
      </x:c>
      <x:c r="G23" s="39" t="n">
        <x:f>IF(ISNUMBER('Assumptions'!G88),'Assumptions'!G88,NA())</x:f>
        <x:v>1150.6</x:v>
      </x:c>
      <x:c r="H23" s="39" t="n">
        <x:f>IF(ISNUMBER('Assumptions'!H88),'Assumptions'!H88,NA())</x:f>
        <x:v>1150.6</x:v>
      </x:c>
      <x:c r="I23" s="39" t="n">
        <x:f>IF(ISNUMBER('Assumptions'!I88),'Assumptions'!I88,NA())</x:f>
        <x:v>1150.6</x:v>
      </x:c>
      <x:c r="J23" s="39" t="n">
        <x:f>IF(ISNUMBER('Assumptions'!J88),'Assumptions'!J88,NA())</x:f>
        <x:v>1150.6</x:v>
      </x:c>
      <x:c r="K23" s="39" t="n">
        <x:f>IF(ISNUMBER('Assumptions'!K88),'Assumptions'!K88,NA())</x:f>
        <x:v>1150.6</x:v>
      </x:c>
      <x:c r="L23" s="2"/>
      <x:c r="M23" s="2"/>
      <x:c r="N23" s="2"/>
      <x:c r="O23" s="2"/>
    </x:row>
    <x:row r="24" ht="22" customHeight="1">
      <x:c r="A24" s="2"/>
      <x:c r="B24" s="2"/>
      <x:c r="C24" s="49" t="str">
        <x:v>Diluted EPS</x:v>
      </x:c>
      <x:c r="D24" s="49" t="str">
        <x:v>$/share</x:v>
      </x:c>
      <x:c r="E24" s="54" t="n">
        <x:f>'Sources'!E19</x:f>
        <x:v>1</x:v>
      </x:c>
      <x:c r="F24" s="54" t="n">
        <x:f>'Sources'!F19</x:f>
        <x:v>1.09</x:v>
      </x:c>
      <x:c r="G24" s="55" t="n">
        <x:f>G21/G23</x:f>
        <x:v>1.1796723579349908</x:v>
      </x:c>
      <x:c r="H24" s="55" t="n">
        <x:f>H21/H23</x:f>
        <x:v>1.2376929779885277</x:v>
      </x:c>
      <x:c r="I24" s="55" t="n">
        <x:f>I21/I23</x:f>
        <x:v>1.2739305868286046</x:v>
      </x:c>
      <x:c r="J24" s="55" t="n">
        <x:f>J21/J23</x:f>
        <x:v>1.3317882676470707</x:v>
      </x:c>
      <x:c r="K24" s="55" t="n">
        <x:f>K21/K23</x:f>
        <x:v>1.4056231612420114</x:v>
      </x:c>
      <x:c r="L24" s="2"/>
      <x:c r="M24" s="2"/>
      <x:c r="N24" s="2"/>
      <x:c r="O24" s="2"/>
    </x:row>
    <x:row r="25" ht="22" customHeight="1">
      <x:c r="A25" s="2"/>
      <x:c r="B25" s="2"/>
      <x:c r="C25" s="2" t="str">
        <x:v>Operating margin</x:v>
      </x:c>
      <x:c r="D25" s="2" t="str">
        <x:v>%</x:v>
      </x:c>
      <x:c r="E25" s="44" t="n">
        <x:f>E17/E9</x:f>
        <x:v>0.20010601643254705</x:v>
      </x:c>
      <x:c r="F25" s="44" t="n">
        <x:f>F17/F9</x:f>
        <x:v>0.2019023230290836</x:v>
      </x:c>
      <x:c r="G25" s="44" t="n">
        <x:f>G17/G9</x:f>
        <x:v>0.19599999999999998</x:v>
      </x:c>
      <x:c r="H25" s="44" t="n">
        <x:f>H17/H9</x:f>
        <x:v>0.19399999999999998</x:v>
      </x:c>
      <x:c r="I25" s="44" t="n">
        <x:f>I17/I9</x:f>
        <x:v>0.192</x:v>
      </x:c>
      <x:c r="J25" s="44" t="n">
        <x:f>J17/J9</x:f>
        <x:v>0.19300000000000003</x:v>
      </x:c>
      <x:c r="K25" s="44" t="n">
        <x:f>K17/K9</x:f>
        <x:v>0.19399999999999998</x:v>
      </x:c>
      <x:c r="L25" s="2"/>
      <x:c r="M25" s="2"/>
      <x:c r="N25" s="2"/>
      <x:c r="O25" s="2"/>
    </x:row>
    <x:row r="26" ht="22" customHeight="1">
      <x:c r="A26" s="2"/>
      <x:c r="B26" s="2"/>
      <x:c r="C26" s="2"/>
      <x:c r="D26" s="2"/>
      <x:c r="E26" s="4"/>
      <x:c r="F26" s="4"/>
      <x:c r="G26" s="4"/>
      <x:c r="H26" s="4"/>
      <x:c r="I26" s="4"/>
      <x:c r="J26" s="4"/>
      <x:c r="K26" s="4"/>
      <x:c r="L26" s="2"/>
      <x:c r="M26" s="2"/>
      <x:c r="N26" s="2"/>
      <x:c r="O26" s="2"/>
    </x:row>
    <x:row r="27" ht="26" customHeight="1">
      <x:c r="A27" s="2"/>
      <x:c r="B27" s="2"/>
      <x:c r="C27" s="26" t="str">
        <x:v>Working-capital build</x:v>
      </x:c>
      <x:c r="D27" s="26" t="str">
        <x:v>Working-capital build</x:v>
      </x:c>
      <x:c r="E27" s="27" t="str">
        <x:v>Working-capital build</x:v>
      </x:c>
      <x:c r="F27" s="27" t="str">
        <x:v>Working-capital build</x:v>
      </x:c>
      <x:c r="G27" s="27" t="str">
        <x:v>Working-capital build</x:v>
      </x:c>
      <x:c r="H27" s="27" t="str">
        <x:v>Working-capital build</x:v>
      </x:c>
      <x:c r="I27" s="27" t="str">
        <x:v>Working-capital build</x:v>
      </x:c>
      <x:c r="J27" s="27" t="str">
        <x:v>Working-capital build</x:v>
      </x:c>
      <x:c r="K27" s="27" t="str">
        <x:v>Working-capital build</x:v>
      </x:c>
      <x:c r="L27" s="2"/>
      <x:c r="M27" s="2"/>
      <x:c r="N27" s="2"/>
      <x:c r="O27" s="2"/>
    </x:row>
    <x:row r="28" ht="24" customHeight="1">
      <x:c r="A28" s="2"/>
      <x:c r="B28" s="2"/>
      <x:c r="C28" s="2" t="str">
        <x:v>Receivable days</x:v>
      </x:c>
      <x:c r="D28" s="2" t="str">
        <x:v>days</x:v>
      </x:c>
      <x:c r="E28" s="4" t="n">
        <x:f>E33/E9*365</x:f>
        <x:v>53.62297906175457</x:v>
      </x:c>
      <x:c r="F28" s="4" t="n">
        <x:f>F33/F9*365</x:f>
        <x:v>55.42765685019206</x:v>
      </x:c>
      <x:c r="G28" s="39" t="n">
        <x:f>IF(ISNUMBER('Assumptions'!G34),'Assumptions'!G34,NA())</x:f>
        <x:v>57</x:v>
      </x:c>
      <x:c r="H28" s="39" t="n">
        <x:f>IF(ISNUMBER('Assumptions'!H34),'Assumptions'!H34,NA())</x:f>
        <x:v>58</x:v>
      </x:c>
      <x:c r="I28" s="39" t="n">
        <x:f>IF(ISNUMBER('Assumptions'!I34),'Assumptions'!I34,NA())</x:f>
        <x:v>59</x:v>
      </x:c>
      <x:c r="J28" s="39" t="n">
        <x:f>IF(ISNUMBER('Assumptions'!J34),'Assumptions'!J34,NA())</x:f>
        <x:v>59</x:v>
      </x:c>
      <x:c r="K28" s="39" t="n">
        <x:f>IF(ISNUMBER('Assumptions'!K34),'Assumptions'!K34,NA())</x:f>
        <x:v>59</x:v>
      </x:c>
      <x:c r="L28" s="2"/>
      <x:c r="M28" s="40" t="str">
        <x:v>Days use closing balances and annual sales / COGS. The model forecasts all three working-capital balances explicitly.</x:v>
      </x:c>
      <x:c r="N28" s="40" t="str">
        <x:v>Days use closing balances and annual sales / COGS. The model forecasts all three working-capital balances explicitly.</x:v>
      </x:c>
      <x:c r="O28" s="40" t="str">
        <x:v>Days use closing balances and annual sales / COGS. The model forecasts all three working-capital balances explicitly.</x:v>
      </x:c>
    </x:row>
    <x:row r="29" ht="24" customHeight="1">
      <x:c r="A29" s="2"/>
      <x:c r="B29" s="2"/>
      <x:c r="C29" s="2" t="str">
        <x:v>Inventory days</x:v>
      </x:c>
      <x:c r="D29" s="2" t="str">
        <x:v>days</x:v>
      </x:c>
      <x:c r="E29" s="4" t="n">
        <x:f>E34/E11*365</x:f>
        <x:v>144.88670640187252</x:v>
      </x:c>
      <x:c r="F29" s="4" t="n">
        <x:f>F34/F11*365</x:f>
        <x:v>141.489809948329</x:v>
      </x:c>
      <x:c r="G29" s="39" t="n">
        <x:f>IF(ISNUMBER('Assumptions'!G40),'Assumptions'!G40,NA())</x:f>
        <x:v>145</x:v>
      </x:c>
      <x:c r="H29" s="39" t="n">
        <x:f>IF(ISNUMBER('Assumptions'!H40),'Assumptions'!H40,NA())</x:f>
        <x:v>148</x:v>
      </x:c>
      <x:c r="I29" s="39" t="n">
        <x:f>IF(ISNUMBER('Assumptions'!I40),'Assumptions'!I40,NA())</x:f>
        <x:v>150</x:v>
      </x:c>
      <x:c r="J29" s="39" t="n">
        <x:f>IF(ISNUMBER('Assumptions'!J40),'Assumptions'!J40,NA())</x:f>
        <x:v>150</x:v>
      </x:c>
      <x:c r="K29" s="39" t="n">
        <x:f>IF(ISNUMBER('Assumptions'!K40),'Assumptions'!K40,NA())</x:f>
        <x:v>150</x:v>
      </x:c>
      <x:c r="L29" s="2"/>
      <x:c r="M29" s="40" t="str">
        <x:v>Days use closing balances and annual sales / COGS. The model forecasts all three working-capital balances explicitly.</x:v>
      </x:c>
      <x:c r="N29" s="40" t="str">
        <x:v>Days use closing balances and annual sales / COGS. The model forecasts all three working-capital balances explicitly.</x:v>
      </x:c>
      <x:c r="O29" s="40" t="str">
        <x:v>Days use closing balances and annual sales / COGS. The model forecasts all three working-capital balances explicitly.</x:v>
      </x:c>
    </x:row>
    <x:row r="30" ht="24" customHeight="1">
      <x:c r="A30" s="2"/>
      <x:c r="B30" s="2"/>
      <x:c r="C30" s="2" t="str">
        <x:v>Payable days</x:v>
      </x:c>
      <x:c r="D30" s="2" t="str">
        <x:v>days</x:v>
      </x:c>
      <x:c r="E30" s="4" t="n">
        <x:f>E35/E11*365</x:f>
        <x:v>25.339760140923236</x:v>
      </x:c>
      <x:c r="F30" s="4" t="n">
        <x:f>F35/F11*365</x:f>
        <x:v>25.64300445745459</x:v>
      </x:c>
      <x:c r="G30" s="39" t="n">
        <x:f>IF(ISNUMBER('Assumptions'!G46),'Assumptions'!G46,NA())</x:f>
        <x:v>26</x:v>
      </x:c>
      <x:c r="H30" s="39" t="n">
        <x:f>IF(ISNUMBER('Assumptions'!H46),'Assumptions'!H46,NA())</x:f>
        <x:v>26</x:v>
      </x:c>
      <x:c r="I30" s="39" t="n">
        <x:f>IF(ISNUMBER('Assumptions'!I46),'Assumptions'!I46,NA())</x:f>
        <x:v>26</x:v>
      </x:c>
      <x:c r="J30" s="39" t="n">
        <x:f>IF(ISNUMBER('Assumptions'!J46),'Assumptions'!J46,NA())</x:f>
        <x:v>26</x:v>
      </x:c>
      <x:c r="K30" s="39" t="n">
        <x:f>IF(ISNUMBER('Assumptions'!K46),'Assumptions'!K46,NA())</x:f>
        <x:v>26</x:v>
      </x:c>
      <x:c r="L30" s="2"/>
      <x:c r="M30" s="40" t="str">
        <x:v>Days use closing balances and annual sales / COGS. The model forecasts all three working-capital balances explicitly.</x:v>
      </x:c>
      <x:c r="N30" s="40" t="str">
        <x:v>Days use closing balances and annual sales / COGS. The model forecasts all three working-capital balances explicitly.</x:v>
      </x:c>
      <x:c r="O30" s="40" t="str">
        <x:v>Days use closing balances and annual sales / COGS. The model forecasts all three working-capital balances explicitly.</x:v>
      </x:c>
    </x:row>
    <x:row r="31" ht="24" customHeight="1">
      <x:c r="A31" s="2"/>
      <x:c r="B31" s="2"/>
      <x:c r="C31" s="2" t="str">
        <x:v>Other operating NWC / revenue</x:v>
      </x:c>
      <x:c r="D31" s="2" t="str">
        <x:v>%</x:v>
      </x:c>
      <x:c r="E31" s="44" t="n">
        <x:f>E37/E9</x:f>
        <x:v>-0.005552610654651471</x:v>
      </x:c>
      <x:c r="F31" s="44" t="n">
        <x:f>F37/F9</x:f>
        <x:v>-0.010096945308212911</x:v>
      </x:c>
      <x:c r="G31" s="45" t="n">
        <x:f>IF(ISNUMBER('Assumptions'!G52),'Assumptions'!G52,NA())</x:f>
        <x:v>-0.009</x:v>
      </x:c>
      <x:c r="H31" s="45" t="n">
        <x:f>IF(ISNUMBER('Assumptions'!H52),'Assumptions'!H52,NA())</x:f>
        <x:v>-0.009</x:v>
      </x:c>
      <x:c r="I31" s="45" t="n">
        <x:f>IF(ISNUMBER('Assumptions'!I52),'Assumptions'!I52,NA())</x:f>
        <x:v>-0.009</x:v>
      </x:c>
      <x:c r="J31" s="45" t="n">
        <x:f>IF(ISNUMBER('Assumptions'!J52),'Assumptions'!J52,NA())</x:f>
        <x:v>-0.009</x:v>
      </x:c>
      <x:c r="K31" s="45" t="n">
        <x:f>IF(ISNUMBER('Assumptions'!K52),'Assumptions'!K52,NA())</x:f>
        <x:v>-0.009</x:v>
      </x:c>
      <x:c r="L31" s="2"/>
      <x:c r="M31" s="40" t="str">
        <x:v>Days use closing balances and annual sales / COGS. The model forecasts all three working-capital balances explicitly.</x:v>
      </x:c>
      <x:c r="N31" s="40" t="str">
        <x:v>Days use closing balances and annual sales / COGS. The model forecasts all three working-capital balances explicitly.</x:v>
      </x:c>
      <x:c r="O31" s="40" t="str">
        <x:v>Days use closing balances and annual sales / COGS. The model forecasts all three working-capital balances explicitly.</x:v>
      </x:c>
    </x:row>
    <x:row r="32" ht="22" customHeight="1">
      <x:c r="A32" s="2"/>
      <x:c r="B32" s="2"/>
      <x:c r="C32" s="2"/>
      <x:c r="D32" s="2"/>
      <x:c r="E32" s="4"/>
      <x:c r="F32" s="4"/>
      <x:c r="G32" s="4"/>
      <x:c r="H32" s="4"/>
      <x:c r="I32" s="4"/>
      <x:c r="J32" s="4"/>
      <x:c r="K32" s="4"/>
      <x:c r="L32" s="2"/>
      <x:c r="M32" s="2"/>
      <x:c r="N32" s="2"/>
      <x:c r="O32" s="2"/>
    </x:row>
    <x:row r="33" ht="22" customHeight="1">
      <x:c r="A33" s="2"/>
      <x:c r="B33" s="2"/>
      <x:c r="C33" s="2" t="str">
        <x:v>Trade receivables</x:v>
      </x:c>
      <x:c r="D33" s="2" t="str">
        <x:v>$m</x:v>
      </x:c>
      <x:c r="E33" s="39" t="n">
        <x:f>'Sources'!E22</x:f>
        <x:v>1108.6</x:v>
      </x:c>
      <x:c r="F33" s="39" t="n">
        <x:f>'Sources'!F22</x:f>
        <x:v>1245.3</x:v>
      </x:c>
      <x:c r="G33" s="4" t="n">
        <x:f>G9*G28/365</x:f>
        <x:v>1434.3011506849318</x:v>
      </x:c>
      <x:c r="H33" s="4" t="n">
        <x:f>H9*H28/365</x:f>
        <x:v>1547.032188493151</x:v>
      </x:c>
      <x:c r="I33" s="4" t="n">
        <x:f>I9*I28/365</x:f>
        <x:v>1636.6533635506853</x:v>
      </x:c>
      <x:c r="J33" s="4" t="n">
        <x:f>J9*J28/365</x:f>
        <x:v>1702.1194980927128</x:v>
      </x:c>
      <x:c r="K33" s="4" t="n">
        <x:f>K9*K28/365</x:f>
        <x:v>1787.2254729973483</x:v>
      </x:c>
      <x:c r="L33" s="2"/>
      <x:c r="M33" s="2"/>
      <x:c r="N33" s="2"/>
      <x:c r="O33" s="2"/>
    </x:row>
    <x:row r="34" ht="22" customHeight="1">
      <x:c r="A34" s="2"/>
      <x:c r="B34" s="2"/>
      <x:c r="C34" s="2" t="str">
        <x:v>Inventory</x:v>
      </x:c>
      <x:c r="D34" s="2" t="str">
        <x:v>$m</x:v>
      </x:c>
      <x:c r="E34" s="39" t="n">
        <x:f>'Sources'!E23</x:f>
        <x:v>1645</x:v>
      </x:c>
      <x:c r="F34" s="39" t="n">
        <x:f>'Sources'!F23</x:f>
        <x:v>1748</x:v>
      </x:c>
      <x:c r="G34" s="4" t="n">
        <x:f>G11*G29/365</x:f>
        <x:v>2043.2500602739726</x:v>
      </x:c>
      <x:c r="H34" s="4" t="n">
        <x:f>H11*H29/365</x:f>
        <x:v>2218.550850174247</x:v>
      </x:c>
      <x:c r="I34" s="4" t="n">
        <x:f>I11*I29/365</x:f>
        <x:v>2346.7944840065757</x:v>
      </x:c>
      <x:c r="J34" s="4" t="n">
        <x:f>J11*J29/365</x:f>
        <x:v>2444.993685819617</x:v>
      </x:c>
      <x:c r="K34" s="4" t="n">
        <x:f>K11*K29/365</x:f>
        <x:v>2567.243370110598</x:v>
      </x:c>
      <x:c r="L34" s="2"/>
      <x:c r="M34" s="2"/>
      <x:c r="N34" s="2"/>
      <x:c r="O34" s="2"/>
    </x:row>
    <x:row r="35" ht="22" customHeight="1">
      <x:c r="A35" s="2"/>
      <x:c r="B35" s="2"/>
      <x:c r="C35" s="2" t="str">
        <x:v>Accounts payable</x:v>
      </x:c>
      <x:c r="D35" s="2" t="str">
        <x:v>$m</x:v>
      </x:c>
      <x:c r="E35" s="39" t="n">
        <x:f>'Sources'!E24</x:f>
        <x:v>287.7</x:v>
      </x:c>
      <x:c r="F35" s="39" t="n">
        <x:f>'Sources'!F24</x:f>
        <x:v>316.8</x:v>
      </x:c>
      <x:c r="G35" s="4" t="n">
        <x:f>G11*G30/365</x:f>
        <x:v>366.3758728767123</x:v>
      </x:c>
      <x:c r="H35" s="4" t="n">
        <x:f>H11*H30/365</x:f>
        <x:v>389.74541962520556</x:v>
      </x:c>
      <x:c r="I35" s="4" t="n">
        <x:f>I11*I30/365</x:f>
        <x:v>406.7777105611398</x:v>
      </x:c>
      <x:c r="J35" s="4" t="n">
        <x:f>J11*J30/365</x:f>
        <x:v>423.7989055420669</x:v>
      </x:c>
      <x:c r="K35" s="4" t="n">
        <x:f>K11*K30/365</x:f>
        <x:v>444.9888508191703</x:v>
      </x:c>
      <x:c r="L35" s="2"/>
      <x:c r="M35" s="2"/>
      <x:c r="N35" s="2"/>
      <x:c r="O35" s="2"/>
    </x:row>
    <x:row r="36" ht="22" customHeight="1">
      <x:c r="A36" s="2"/>
      <x:c r="B36" s="2"/>
      <x:c r="C36" s="2" t="str">
        <x:v>Trade working capital</x:v>
      </x:c>
      <x:c r="D36" s="2" t="str">
        <x:v>$m</x:v>
      </x:c>
      <x:c r="E36" s="4" t="n">
        <x:f>SUM(E33:E34)-E35</x:f>
        <x:v>2465.9</x:v>
      </x:c>
      <x:c r="F36" s="4" t="n">
        <x:f>SUM(F33:F34)-F35</x:f>
        <x:v>2676.5</x:v>
      </x:c>
      <x:c r="G36" s="4" t="n">
        <x:f>SUM(G33:G34)-G35</x:f>
        <x:v>3111.175338082192</x:v>
      </x:c>
      <x:c r="H36" s="4" t="n">
        <x:f>SUM(H33:H34)-H35</x:f>
        <x:v>3375.8376190421923</x:v>
      </x:c>
      <x:c r="I36" s="4" t="n">
        <x:f>SUM(I33:I34)-I35</x:f>
        <x:v>3576.670136996121</x:v>
      </x:c>
      <x:c r="J36" s="4" t="n">
        <x:f>SUM(J33:J34)-J35</x:f>
        <x:v>3723.3142783702633</x:v>
      </x:c>
      <x:c r="K36" s="4" t="n">
        <x:f>SUM(K33:K34)-K35</x:f>
        <x:v>3909.4799922887764</x:v>
      </x:c>
      <x:c r="L36" s="2"/>
      <x:c r="M36" s="2"/>
      <x:c r="N36" s="2"/>
      <x:c r="O36" s="2"/>
    </x:row>
    <x:row r="37" ht="22" customHeight="1">
      <x:c r="A37" s="2"/>
      <x:c r="B37" s="2"/>
      <x:c r="C37" s="2" t="str">
        <x:v>Other operating working capital</x:v>
      </x:c>
      <x:c r="D37" s="2" t="str">
        <x:v>$m</x:v>
      </x:c>
      <x:c r="E37" s="39" t="n">
        <x:f>'Sources'!E25-'Sources'!E26</x:f>
        <x:v>-41.900000000000006</x:v>
      </x:c>
      <x:c r="F37" s="39" t="n">
        <x:f>'Sources'!F25-'Sources'!F26</x:f>
        <x:v>-82.79999999999998</x:v>
      </x:c>
      <x:c r="G37" s="4" t="n">
        <x:f>G9*G31</x:f>
        <x:v>-82.66104</x:v>
      </x:c>
      <x:c r="H37" s="4" t="n">
        <x:f>H9*H31</x:f>
        <x:v>-87.6207024</x:v>
      </x:c>
      <x:c r="I37" s="4" t="n">
        <x:f>I9*I31</x:f>
        <x:v>-91.12553049600001</x:v>
      </x:c>
      <x:c r="J37" s="4" t="n">
        <x:f>J9*J31</x:f>
        <x:v>-94.77055171584001</x:v>
      </x:c>
      <x:c r="K37" s="4" t="n">
        <x:f>K9*K31</x:f>
        <x:v>-99.50907930163201</x:v>
      </x:c>
      <x:c r="L37" s="2"/>
      <x:c r="M37" s="2"/>
      <x:c r="N37" s="2"/>
      <x:c r="O37" s="2"/>
    </x:row>
    <x:row r="38" ht="22" customHeight="1">
      <x:c r="A38" s="2"/>
      <x:c r="B38" s="2"/>
      <x:c r="C38" s="49" t="str">
        <x:v>Operating working capital</x:v>
      </x:c>
      <x:c r="D38" s="49" t="str">
        <x:v>$m</x:v>
      </x:c>
      <x:c r="E38" s="51" t="n">
        <x:f>SUM(E36:E37)</x:f>
        <x:v>2424</x:v>
      </x:c>
      <x:c r="F38" s="51" t="n">
        <x:f>SUM(F36:F37)</x:f>
        <x:v>2593.7</x:v>
      </x:c>
      <x:c r="G38" s="51" t="n">
        <x:f>SUM(G36:G37)</x:f>
        <x:v>3028.514298082192</x:v>
      </x:c>
      <x:c r="H38" s="51" t="n">
        <x:f>SUM(H36:H37)</x:f>
        <x:v>3288.2169166421922</x:v>
      </x:c>
      <x:c r="I38" s="51" t="n">
        <x:f>SUM(I36:I37)</x:f>
        <x:v>3485.544606500121</x:v>
      </x:c>
      <x:c r="J38" s="51" t="n">
        <x:f>SUM(J36:J37)</x:f>
        <x:v>3628.543726654423</x:v>
      </x:c>
      <x:c r="K38" s="51" t="n">
        <x:f>SUM(K36:K37)</x:f>
        <x:v>3809.9709129871444</x:v>
      </x:c>
      <x:c r="L38" s="2"/>
      <x:c r="M38" s="2"/>
      <x:c r="N38" s="2"/>
      <x:c r="O38" s="2"/>
    </x:row>
    <x:row r="39" ht="22" customHeight="1">
      <x:c r="A39" s="2"/>
      <x:c r="B39" s="2"/>
      <x:c r="C39" s="2" t="str">
        <x:v>Opening operating working capital</x:v>
      </x:c>
      <x:c r="D39" s="2" t="str">
        <x:v>$m</x:v>
      </x:c>
      <x:c r="E39" s="4"/>
      <x:c r="F39" s="4" t="n">
        <x:f>E38</x:f>
        <x:v>2424</x:v>
      </x:c>
      <x:c r="G39" s="4" t="n">
        <x:f>F38</x:f>
        <x:v>2593.7</x:v>
      </x:c>
      <x:c r="H39" s="4" t="n">
        <x:f>G38</x:f>
        <x:v>3028.514298082192</x:v>
      </x:c>
      <x:c r="I39" s="4" t="n">
        <x:f>H38</x:f>
        <x:v>3288.2169166421922</x:v>
      </x:c>
      <x:c r="J39" s="4" t="n">
        <x:f>I38</x:f>
        <x:v>3485.544606500121</x:v>
      </x:c>
      <x:c r="K39" s="4" t="n">
        <x:f>J38</x:f>
        <x:v>3628.543726654423</x:v>
      </x:c>
      <x:c r="L39" s="2"/>
      <x:c r="M39" s="2"/>
      <x:c r="N39" s="2"/>
      <x:c r="O39" s="2"/>
    </x:row>
    <x:row r="40" ht="22" customHeight="1">
      <x:c r="A40" s="2"/>
      <x:c r="B40" s="2"/>
      <x:c r="C40" s="2" t="str">
        <x:v>Increase / (release) in NWC</x:v>
      </x:c>
      <x:c r="D40" s="2" t="str">
        <x:v>$m</x:v>
      </x:c>
      <x:c r="E40" s="4"/>
      <x:c r="F40" s="4" t="n">
        <x:f>F38-F39</x:f>
        <x:v>169.69999999999982</x:v>
      </x:c>
      <x:c r="G40" s="4" t="n">
        <x:f>G38-G39</x:f>
        <x:v>434.8142980821922</x:v>
      </x:c>
      <x:c r="H40" s="4" t="n">
        <x:f>H38-H39</x:f>
        <x:v>259.70261856000025</x:v>
      </x:c>
      <x:c r="I40" s="4" t="n">
        <x:f>I38-I39</x:f>
        <x:v>197.32768985792882</x:v>
      </x:c>
      <x:c r="J40" s="4" t="n">
        <x:f>J38-J39</x:f>
        <x:v>142.9991201543021</x:v>
      </x:c>
      <x:c r="K40" s="4" t="n">
        <x:f>K38-K39</x:f>
        <x:v>181.42718633272125</x:v>
      </x:c>
      <x:c r="L40" s="2"/>
      <x:c r="M40" s="2"/>
      <x:c r="N40" s="2"/>
      <x:c r="O40" s="2"/>
    </x:row>
    <x:row r="41" ht="22" customHeight="1">
      <x:c r="A41" s="2"/>
      <x:c r="B41" s="2"/>
      <x:c r="C41" s="2"/>
      <x:c r="D41" s="2"/>
      <x:c r="E41" s="4"/>
      <x:c r="F41" s="4"/>
      <x:c r="G41" s="4"/>
      <x:c r="H41" s="4"/>
      <x:c r="I41" s="4"/>
      <x:c r="J41" s="4"/>
      <x:c r="K41" s="4"/>
      <x:c r="L41" s="2"/>
      <x:c r="M41" s="2"/>
      <x:c r="N41" s="2"/>
      <x:c r="O41" s="2"/>
    </x:row>
    <x:row r="42" ht="22" customHeight="1">
      <x:c r="A42" s="2"/>
      <x:c r="B42" s="2"/>
      <x:c r="C42" s="2"/>
      <x:c r="D42" s="2"/>
      <x:c r="E42" s="4"/>
      <x:c r="F42" s="4"/>
      <x:c r="G42" s="4"/>
      <x:c r="H42" s="4"/>
      <x:c r="I42" s="4"/>
      <x:c r="J42" s="4"/>
      <x:c r="K42" s="4"/>
      <x:c r="L42" s="2"/>
      <x:c r="M42" s="2"/>
      <x:c r="N42" s="2"/>
      <x:c r="O42" s="2"/>
    </x:row>
    <x:row r="43" ht="26" customHeight="1">
      <x:c r="A43" s="2"/>
      <x:c r="B43" s="2"/>
      <x:c r="C43" s="26" t="str">
        <x:v>Reinvestment and non-cash expenses</x:v>
      </x:c>
      <x:c r="D43" s="26" t="str">
        <x:v>Reinvestment and non-cash expenses</x:v>
      </x:c>
      <x:c r="E43" s="27" t="str">
        <x:v>Reinvestment and non-cash expenses</x:v>
      </x:c>
      <x:c r="F43" s="27" t="str">
        <x:v>Reinvestment and non-cash expenses</x:v>
      </x:c>
      <x:c r="G43" s="27" t="str">
        <x:v>Reinvestment and non-cash expenses</x:v>
      </x:c>
      <x:c r="H43" s="27" t="str">
        <x:v>Reinvestment and non-cash expenses</x:v>
      </x:c>
      <x:c r="I43" s="27" t="str">
        <x:v>Reinvestment and non-cash expenses</x:v>
      </x:c>
      <x:c r="J43" s="27" t="str">
        <x:v>Reinvestment and non-cash expenses</x:v>
      </x:c>
      <x:c r="K43" s="27" t="str">
        <x:v>Reinvestment and non-cash expenses</x:v>
      </x:c>
      <x:c r="L43" s="2"/>
      <x:c r="M43" s="2"/>
      <x:c r="N43" s="2"/>
      <x:c r="O43" s="2"/>
    </x:row>
    <x:row r="44" ht="24" customHeight="1">
      <x:c r="A44" s="2"/>
      <x:c r="B44" s="2"/>
      <x:c r="C44" s="2" t="str">
        <x:v>D&amp;A / revenue</x:v>
      </x:c>
      <x:c r="D44" s="2" t="str">
        <x:v>%</x:v>
      </x:c>
      <x:c r="E44" s="44" t="n">
        <x:f>E46/E9</x:f>
        <x:v>0.023244102835939567</x:v>
      </x:c>
      <x:c r="F44" s="44" t="n">
        <x:f>F46/F9</x:f>
        <x:v>0.02185232607767819</x:v>
      </x:c>
      <x:c r="G44" s="45" t="n">
        <x:f>IF(ISNUMBER('Assumptions'!G58),'Assumptions'!G58,NA())</x:f>
        <x:v>0.022</x:v>
      </x:c>
      <x:c r="H44" s="45" t="n">
        <x:f>IF(ISNUMBER('Assumptions'!H58),'Assumptions'!H58,NA())</x:f>
        <x:v>0.022</x:v>
      </x:c>
      <x:c r="I44" s="45" t="n">
        <x:f>IF(ISNUMBER('Assumptions'!I58),'Assumptions'!I58,NA())</x:f>
        <x:v>0.022</x:v>
      </x:c>
      <x:c r="J44" s="45" t="n">
        <x:f>IF(ISNUMBER('Assumptions'!J58),'Assumptions'!J58,NA())</x:f>
        <x:v>0.022</x:v>
      </x:c>
      <x:c r="K44" s="45" t="n">
        <x:f>IF(ISNUMBER('Assumptions'!K58),'Assumptions'!K58,NA())</x:f>
        <x:v>0.022</x:v>
      </x:c>
      <x:c r="L44" s="2"/>
      <x:c r="M44" s="40" t="str">
        <x:v>D&amp;A uses a revenue ratio. Other non-cash adjustments normalize to zero. The model does not forecast asset vintages, deferred tax or FX.</x:v>
      </x:c>
      <x:c r="N44" s="40" t="str">
        <x:v>D&amp;A uses a revenue ratio. Other non-cash adjustments normalize to zero. The model does not forecast asset vintages, deferred tax or FX.</x:v>
      </x:c>
      <x:c r="O44" s="40" t="str">
        <x:v>D&amp;A uses a revenue ratio. Other non-cash adjustments normalize to zero. The model does not forecast asset vintages, deferred tax or FX.</x:v>
      </x:c>
    </x:row>
    <x:row r="45" ht="24" customHeight="1">
      <x:c r="A45" s="2"/>
      <x:c r="B45" s="2"/>
      <x:c r="C45" s="2" t="str">
        <x:v>Stock compensation / revenue</x:v>
      </x:c>
      <x:c r="D45" s="2" t="str">
        <x:v>%</x:v>
      </x:c>
      <x:c r="E45" s="44" t="n">
        <x:f>E47/E9</x:f>
        <x:v>0.0010601643254704478</x:v>
      </x:c>
      <x:c r="F45" s="44" t="n">
        <x:f>F47/F9</x:f>
        <x:v>0.0010243277848911653</x:v>
      </x:c>
      <x:c r="G45" s="45" t="n">
        <x:f>IF(ISNUMBER('Assumptions'!G64),'Assumptions'!G64,NA())</x:f>
        <x:v>0.001</x:v>
      </x:c>
      <x:c r="H45" s="45" t="n">
        <x:f>IF(ISNUMBER('Assumptions'!H64),'Assumptions'!H64,NA())</x:f>
        <x:v>0.001</x:v>
      </x:c>
      <x:c r="I45" s="45" t="n">
        <x:f>IF(ISNUMBER('Assumptions'!I64),'Assumptions'!I64,NA())</x:f>
        <x:v>0.001</x:v>
      </x:c>
      <x:c r="J45" s="45" t="n">
        <x:f>IF(ISNUMBER('Assumptions'!J64),'Assumptions'!J64,NA())</x:f>
        <x:v>0.001</x:v>
      </x:c>
      <x:c r="K45" s="45" t="n">
        <x:f>IF(ISNUMBER('Assumptions'!K64),'Assumptions'!K64,NA())</x:f>
        <x:v>0.001</x:v>
      </x:c>
      <x:c r="L45" s="2"/>
      <x:c r="M45" s="40" t="str">
        <x:v>D&amp;A uses a revenue ratio. Other non-cash adjustments normalize to zero. The model does not forecast asset vintages, deferred tax or FX.</x:v>
      </x:c>
      <x:c r="N45" s="40" t="str">
        <x:v>D&amp;A uses a revenue ratio. Other non-cash adjustments normalize to zero. The model does not forecast asset vintages, deferred tax or FX.</x:v>
      </x:c>
      <x:c r="O45" s="40" t="str">
        <x:v>D&amp;A uses a revenue ratio. Other non-cash adjustments normalize to zero. The model does not forecast asset vintages, deferred tax or FX.</x:v>
      </x:c>
    </x:row>
    <x:row r="46" ht="24" customHeight="1">
      <x:c r="A46" s="2"/>
      <x:c r="B46" s="2"/>
      <x:c r="C46" s="2" t="str">
        <x:v>Depreciation and amortization</x:v>
      </x:c>
      <x:c r="D46" s="2" t="str">
        <x:v>$m</x:v>
      </x:c>
      <x:c r="E46" s="39" t="n">
        <x:f>SUM('Sources'!E29:E30)</x:f>
        <x:v>175.39999999999998</x:v>
      </x:c>
      <x:c r="F46" s="39" t="n">
        <x:f>SUM('Sources'!F29:F30)</x:f>
        <x:v>179.2</x:v>
      </x:c>
      <x:c r="G46" s="4" t="n">
        <x:f>G9*G44</x:f>
        <x:v>202.06032000000002</x:v>
      </x:c>
      <x:c r="H46" s="4" t="n">
        <x:f>H9*H44</x:f>
        <x:v>214.1839392</x:v>
      </x:c>
      <x:c r="I46" s="4" t="n">
        <x:f>I9*I44</x:f>
        <x:v>222.75129676800003</x:v>
      </x:c>
      <x:c r="J46" s="4" t="n">
        <x:f>J9*J44</x:f>
        <x:v>231.66134863872006</x:v>
      </x:c>
      <x:c r="K46" s="4" t="n">
        <x:f>K9*K44</x:f>
        <x:v>243.24441607065603</x:v>
      </x:c>
      <x:c r="L46" s="2"/>
      <x:c r="M46" s="40" t="str">
        <x:v>D&amp;A uses a revenue ratio. Other non-cash adjustments normalize to zero. The model does not forecast asset vintages, deferred tax or FX.</x:v>
      </x:c>
      <x:c r="N46" s="40" t="str">
        <x:v>D&amp;A uses a revenue ratio. Other non-cash adjustments normalize to zero. The model does not forecast asset vintages, deferred tax or FX.</x:v>
      </x:c>
      <x:c r="O46" s="40" t="str">
        <x:v>D&amp;A uses a revenue ratio. Other non-cash adjustments normalize to zero. The model does not forecast asset vintages, deferred tax or FX.</x:v>
      </x:c>
    </x:row>
    <x:row r="47" ht="24" customHeight="1">
      <x:c r="A47" s="2"/>
      <x:c r="B47" s="2"/>
      <x:c r="C47" s="2" t="str">
        <x:v>Stock-based compensation</x:v>
      </x:c>
      <x:c r="D47" s="2" t="str">
        <x:v>$m</x:v>
      </x:c>
      <x:c r="E47" s="39" t="n">
        <x:f>'Sources'!E31</x:f>
        <x:v>8</x:v>
      </x:c>
      <x:c r="F47" s="39" t="n">
        <x:f>'Sources'!F31</x:f>
        <x:v>8.4</x:v>
      </x:c>
      <x:c r="G47" s="4" t="n">
        <x:f>G9*G45</x:f>
        <x:v>9.184560000000001</x:v>
      </x:c>
      <x:c r="H47" s="4" t="n">
        <x:f>H9*H45</x:f>
        <x:v>9.735633600000002</x:v>
      </x:c>
      <x:c r="I47" s="4" t="n">
        <x:f>I9*I45</x:f>
        <x:v>10.125058944000003</x:v>
      </x:c>
      <x:c r="J47" s="4" t="n">
        <x:f>J9*J45</x:f>
        <x:v>10.530061301760004</x:v>
      </x:c>
      <x:c r="K47" s="4" t="n">
        <x:f>K9*K45</x:f>
        <x:v>11.056564366848002</x:v>
      </x:c>
      <x:c r="L47" s="2"/>
      <x:c r="M47" s="40" t="str">
        <x:v>D&amp;A uses a revenue ratio. Other non-cash adjustments normalize to zero. The model does not forecast asset vintages, deferred tax or FX.</x:v>
      </x:c>
      <x:c r="N47" s="40" t="str">
        <x:v>D&amp;A uses a revenue ratio. Other non-cash adjustments normalize to zero. The model does not forecast asset vintages, deferred tax or FX.</x:v>
      </x:c>
      <x:c r="O47" s="40" t="str">
        <x:v>D&amp;A uses a revenue ratio. Other non-cash adjustments normalize to zero. The model does not forecast asset vintages, deferred tax or FX.</x:v>
      </x:c>
    </x:row>
    <x:row r="48" ht="24" customHeight="1">
      <x:c r="A48" s="2"/>
      <x:c r="B48" s="2"/>
      <x:c r="C48" s="2" t="str">
        <x:v>Other non-cash adjustments</x:v>
      </x:c>
      <x:c r="D48" s="2" t="str">
        <x:v>$m</x:v>
      </x:c>
      <x:c r="E48" s="39" t="n">
        <x:f>SUM('Sources'!E32:E34)</x:f>
        <x:v>-6.6</x:v>
      </x:c>
      <x:c r="F48" s="39" t="n">
        <x:f>SUM('Sources'!F32:F34)</x:f>
        <x:v>-0.10000000000000053</x:v>
      </x:c>
      <x:c r="G48" s="4" t="n">
        <x:f>0</x:f>
        <x:v>0</x:v>
      </x:c>
      <x:c r="H48" s="4" t="n">
        <x:f>0</x:f>
        <x:v>0</x:v>
      </x:c>
      <x:c r="I48" s="4" t="n">
        <x:f>0</x:f>
        <x:v>0</x:v>
      </x:c>
      <x:c r="J48" s="4" t="n">
        <x:f>0</x:f>
        <x:v>0</x:v>
      </x:c>
      <x:c r="K48" s="4" t="n">
        <x:f>0</x:f>
        <x:v>0</x:v>
      </x:c>
      <x:c r="L48" s="2"/>
      <x:c r="M48" s="40" t="str">
        <x:v>D&amp;A uses a revenue ratio. Other non-cash adjustments normalize to zero. The model does not forecast asset vintages, deferred tax or FX.</x:v>
      </x:c>
      <x:c r="N48" s="40" t="str">
        <x:v>D&amp;A uses a revenue ratio. Other non-cash adjustments normalize to zero. The model does not forecast asset vintages, deferred tax or FX.</x:v>
      </x:c>
      <x:c r="O48" s="40" t="str">
        <x:v>D&amp;A uses a revenue ratio. Other non-cash adjustments normalize to zero. The model does not forecast asset vintages, deferred tax or FX.</x:v>
      </x:c>
    </x:row>
    <x:row r="49" ht="22" customHeight="1">
      <x:c r="A49" s="2"/>
      <x:c r="B49" s="2"/>
      <x:c r="C49" s="2" t="str">
        <x:v>Gross capex / revenue</x:v>
      </x:c>
      <x:c r="D49" s="2" t="str">
        <x:v>%</x:v>
      </x:c>
      <x:c r="E49" s="44" t="n">
        <x:f>E51/E9</x:f>
        <x:v>0.030015902464882057</x:v>
      </x:c>
      <x:c r="F49" s="44" t="n">
        <x:f>F51/F9</x:f>
        <x:v>0.029912810194500337</x:v>
      </x:c>
      <x:c r="G49" s="45" t="n">
        <x:f>IF(ISNUMBER('Assumptions'!G70),'Assumptions'!G70,NA())</x:f>
        <x:v>0.03538547301122753</x:v>
      </x:c>
      <x:c r="H49" s="45" t="n">
        <x:f>IF(ISNUMBER('Assumptions'!H70),'Assumptions'!H70,NA())</x:f>
        <x:v>0.032</x:v>
      </x:c>
      <x:c r="I49" s="45" t="n">
        <x:f>IF(ISNUMBER('Assumptions'!I70),'Assumptions'!I70,NA())</x:f>
        <x:v>0.032</x:v>
      </x:c>
      <x:c r="J49" s="45" t="n">
        <x:f>IF(ISNUMBER('Assumptions'!J70),'Assumptions'!J70,NA())</x:f>
        <x:v>0.032</x:v>
      </x:c>
      <x:c r="K49" s="45" t="n">
        <x:f>IF(ISNUMBER('Assumptions'!K70),'Assumptions'!K70,NA())</x:f>
        <x:v>0.032</x:v>
      </x:c>
      <x:c r="L49" s="2"/>
      <x:c r="M49" s="2"/>
      <x:c r="N49" s="2"/>
      <x:c r="O49" s="2"/>
    </x:row>
    <x:row r="50" ht="22" customHeight="1">
      <x:c r="A50" s="2"/>
      <x:c r="B50" s="2"/>
      <x:c r="C50" s="2" t="str">
        <x:v>Disposal proceeds / revenue</x:v>
      </x:c>
      <x:c r="D50" s="2" t="str">
        <x:v>%</x:v>
      </x:c>
      <x:c r="E50" s="44" t="n">
        <x:f>E52/E9</x:f>
        <x:v>0.0016432547044791944</x:v>
      </x:c>
      <x:c r="F50" s="44" t="n">
        <x:f>F52/F9</x:f>
        <x:v>0.0018047680019511007</x:v>
      </x:c>
      <x:c r="G50" s="45" t="n">
        <x:f>IF(ISNUMBER('Assumptions'!G76),'Assumptions'!G76,NA())</x:f>
        <x:v>0.0016331756774412708</x:v>
      </x:c>
      <x:c r="H50" s="45" t="n">
        <x:f>IF(ISNUMBER('Assumptions'!H76),'Assumptions'!H76,NA())</x:f>
        <x:v>0.0018</x:v>
      </x:c>
      <x:c r="I50" s="45" t="n">
        <x:f>IF(ISNUMBER('Assumptions'!I76),'Assumptions'!I76,NA())</x:f>
        <x:v>0.0018</x:v>
      </x:c>
      <x:c r="J50" s="45" t="n">
        <x:f>IF(ISNUMBER('Assumptions'!J76),'Assumptions'!J76,NA())</x:f>
        <x:v>0.0018</x:v>
      </x:c>
      <x:c r="K50" s="45" t="n">
        <x:f>IF(ISNUMBER('Assumptions'!K76),'Assumptions'!K76,NA())</x:f>
        <x:v>0.0018</x:v>
      </x:c>
      <x:c r="L50" s="2"/>
      <x:c r="M50" s="2"/>
      <x:c r="N50" s="2"/>
      <x:c r="O50" s="2"/>
    </x:row>
    <x:row r="51" ht="22" customHeight="1">
      <x:c r="A51" s="2"/>
      <x:c r="B51" s="2"/>
      <x:c r="C51" s="2" t="str">
        <x:v>Gross capex</x:v>
      </x:c>
      <x:c r="D51" s="2" t="str">
        <x:v>$m</x:v>
      </x:c>
      <x:c r="E51" s="39" t="n">
        <x:f>'Sources'!E45</x:f>
        <x:v>226.5</x:v>
      </x:c>
      <x:c r="F51" s="39" t="n">
        <x:f>'Sources'!F45</x:f>
        <x:v>245.3</x:v>
      </x:c>
      <x:c r="G51" s="4" t="n">
        <x:f>G9*G49</x:f>
        <x:v>325</x:v>
      </x:c>
      <x:c r="H51" s="4" t="n">
        <x:f>H9*H49</x:f>
        <x:v>311.54027520000005</x:v>
      </x:c>
      <x:c r="I51" s="4" t="n">
        <x:f>I9*I49</x:f>
        <x:v>324.0018862080001</x:v>
      </x:c>
      <x:c r="J51" s="4" t="n">
        <x:f>J9*J49</x:f>
        <x:v>336.9619616563201</x:v>
      </x:c>
      <x:c r="K51" s="4" t="n">
        <x:f>K9*K49</x:f>
        <x:v>353.8100597391361</x:v>
      </x:c>
      <x:c r="L51" s="2"/>
      <x:c r="M51" s="2"/>
      <x:c r="N51" s="2"/>
      <x:c r="O51" s="2"/>
    </x:row>
    <x:row r="52" ht="22" customHeight="1">
      <x:c r="A52" s="2"/>
      <x:c r="B52" s="2"/>
      <x:c r="C52" s="2" t="str">
        <x:v>Disposal proceeds</x:v>
      </x:c>
      <x:c r="D52" s="2" t="str">
        <x:v>$m</x:v>
      </x:c>
      <x:c r="E52" s="39" t="n">
        <x:f>'Sources'!E46</x:f>
        <x:v>12.4</x:v>
      </x:c>
      <x:c r="F52" s="39" t="n">
        <x:f>'Sources'!F46</x:f>
        <x:v>14.8</x:v>
      </x:c>
      <x:c r="G52" s="4" t="n">
        <x:f>G9*G50</x:f>
        <x:v>15</x:v>
      </x:c>
      <x:c r="H52" s="4" t="n">
        <x:f>H9*H50</x:f>
        <x:v>17.52414048</x:v>
      </x:c>
      <x:c r="I52" s="4" t="n">
        <x:f>I9*I50</x:f>
        <x:v>18.225106099200005</x:v>
      </x:c>
      <x:c r="J52" s="4" t="n">
        <x:f>J9*J50</x:f>
        <x:v>18.954110343168004</x:v>
      </x:c>
      <x:c r="K52" s="4" t="n">
        <x:f>K9*K50</x:f>
        <x:v>19.901815860326405</x:v>
      </x:c>
      <x:c r="L52" s="2"/>
      <x:c r="M52" s="2"/>
      <x:c r="N52" s="2"/>
      <x:c r="O52" s="2"/>
    </x:row>
    <x:row r="53" ht="22" customHeight="1">
      <x:c r="A53" s="2"/>
      <x:c r="B53" s="2"/>
      <x:c r="C53" s="49" t="str">
        <x:v>Net capex</x:v>
      </x:c>
      <x:c r="D53" s="49" t="str">
        <x:v>$m</x:v>
      </x:c>
      <x:c r="E53" s="51" t="n">
        <x:f>E51-E52</x:f>
        <x:v>214.1</x:v>
      </x:c>
      <x:c r="F53" s="51" t="n">
        <x:f>F51-F52</x:f>
        <x:v>230.5</x:v>
      </x:c>
      <x:c r="G53" s="51" t="n">
        <x:f>G51-G52</x:f>
        <x:v>310</x:v>
      </x:c>
      <x:c r="H53" s="51" t="n">
        <x:f>H51-H52</x:f>
        <x:v>294.0161347200001</x:v>
      </x:c>
      <x:c r="I53" s="51" t="n">
        <x:f>I51-I52</x:f>
        <x:v>305.7767801088001</x:v>
      </x:c>
      <x:c r="J53" s="51" t="n">
        <x:f>J51-J52</x:f>
        <x:v>318.0078513131521</x:v>
      </x:c>
      <x:c r="K53" s="51" t="n">
        <x:f>K51-K52</x:f>
        <x:v>333.9082438788097</x:v>
      </x:c>
      <x:c r="L53" s="2"/>
      <x:c r="M53" s="2"/>
      <x:c r="N53" s="2"/>
      <x:c r="O53" s="2"/>
    </x:row>
    <x:row r="54" ht="22" customHeight="1">
      <x:c r="A54" s="2"/>
      <x:c r="B54" s="2"/>
      <x:c r="C54" s="2"/>
      <x:c r="D54" s="2"/>
      <x:c r="E54" s="4"/>
      <x:c r="F54" s="4"/>
      <x:c r="G54" s="4"/>
      <x:c r="H54" s="4"/>
      <x:c r="I54" s="4"/>
      <x:c r="J54" s="4"/>
      <x:c r="K54" s="4"/>
      <x:c r="L54" s="2"/>
      <x:c r="M54" s="2"/>
      <x:c r="N54" s="2"/>
      <x:c r="O54" s="2"/>
    </x:row>
    <x:row r="55" ht="26" customHeight="1">
      <x:c r="A55" s="2"/>
      <x:c r="B55" s="2"/>
      <x:c r="C55" s="26" t="str">
        <x:v>Earnings to free cash flow</x:v>
      </x:c>
      <x:c r="D55" s="26" t="str">
        <x:v>Earnings to free cash flow</x:v>
      </x:c>
      <x:c r="E55" s="27" t="str">
        <x:v>Earnings to free cash flow</x:v>
      </x:c>
      <x:c r="F55" s="27" t="str">
        <x:v>Earnings to free cash flow</x:v>
      </x:c>
      <x:c r="G55" s="27" t="str">
        <x:v>Earnings to free cash flow</x:v>
      </x:c>
      <x:c r="H55" s="27" t="str">
        <x:v>Earnings to free cash flow</x:v>
      </x:c>
      <x:c r="I55" s="27" t="str">
        <x:v>Earnings to free cash flow</x:v>
      </x:c>
      <x:c r="J55" s="27" t="str">
        <x:v>Earnings to free cash flow</x:v>
      </x:c>
      <x:c r="K55" s="27" t="str">
        <x:v>Earnings to free cash flow</x:v>
      </x:c>
      <x:c r="L55" s="2"/>
      <x:c r="M55" s="2"/>
      <x:c r="N55" s="2"/>
      <x:c r="O55" s="2"/>
    </x:row>
    <x:row r="56" ht="24" customHeight="1">
      <x:c r="A56" s="2"/>
      <x:c r="B56" s="2"/>
      <x:c r="C56" s="2" t="str">
        <x:v>Net income</x:v>
      </x:c>
      <x:c r="D56" s="2" t="str">
        <x:v>$m</x:v>
      </x:c>
      <x:c r="E56" s="39" t="n">
        <x:f>'Sources'!E17</x:f>
        <x:v>1150.6</x:v>
      </x:c>
      <x:c r="F56" s="39" t="n">
        <x:f>'Sources'!F17</x:f>
        <x:v>1258.4</x:v>
      </x:c>
      <x:c r="G56" s="4" t="n">
        <x:f>G21</x:f>
        <x:v>1357.3310150400002</x:v>
      </x:c>
      <x:c r="H56" s="4" t="n">
        <x:f>H21</x:f>
        <x:v>1424.0895404736</x:v>
      </x:c>
      <x:c r="I56" s="4" t="n">
        <x:f>I21</x:f>
        <x:v>1465.7845332049924</x:v>
      </x:c>
      <x:c r="J56" s="4" t="n">
        <x:f>J21</x:f>
        <x:v>1532.3555807547193</x:v>
      </x:c>
      <x:c r="K56" s="4" t="n">
        <x:f>K21</x:f>
        <x:v>1617.3100093250582</x:v>
      </x:c>
      <x:c r="L56" s="2"/>
      <x:c r="M56" s="40" t="str">
        <x:v>Historical CFO is reported. Forecast CFO bridges from net income through non-cash expenses and changes in operating working capital. Tax timing is neutral.</x:v>
      </x:c>
      <x:c r="N56" s="40" t="str">
        <x:v>Historical CFO is reported. Forecast CFO bridges from net income through non-cash expenses and changes in operating working capital. Tax timing is neutral.</x:v>
      </x:c>
      <x:c r="O56" s="40" t="str">
        <x:v>Historical CFO is reported. Forecast CFO bridges from net income through non-cash expenses and changes in operating working capital. Tax timing is neutral.</x:v>
      </x:c>
    </x:row>
    <x:row r="57" ht="24" customHeight="1">
      <x:c r="A57" s="2"/>
      <x:c r="B57" s="2"/>
      <x:c r="C57" s="2" t="str">
        <x:v>Depreciation and amortization</x:v>
      </x:c>
      <x:c r="D57" s="2" t="str">
        <x:v>$m</x:v>
      </x:c>
      <x:c r="E57" s="4" t="n">
        <x:f>E46</x:f>
        <x:v>175.39999999999998</x:v>
      </x:c>
      <x:c r="F57" s="4" t="n">
        <x:f>F46</x:f>
        <x:v>179.2</x:v>
      </x:c>
      <x:c r="G57" s="4" t="n">
        <x:f>G46</x:f>
        <x:v>202.06032000000002</x:v>
      </x:c>
      <x:c r="H57" s="4" t="n">
        <x:f>H46</x:f>
        <x:v>214.1839392</x:v>
      </x:c>
      <x:c r="I57" s="4" t="n">
        <x:f>I46</x:f>
        <x:v>222.75129676800003</x:v>
      </x:c>
      <x:c r="J57" s="4" t="n">
        <x:f>J46</x:f>
        <x:v>231.66134863872006</x:v>
      </x:c>
      <x:c r="K57" s="4" t="n">
        <x:f>K46</x:f>
        <x:v>243.24441607065603</x:v>
      </x:c>
      <x:c r="L57" s="2"/>
      <x:c r="M57" s="40" t="str">
        <x:v>Historical CFO is reported. Forecast CFO bridges from net income through non-cash expenses and changes in operating working capital. Tax timing is neutral.</x:v>
      </x:c>
      <x:c r="N57" s="40" t="str">
        <x:v>Historical CFO is reported. Forecast CFO bridges from net income through non-cash expenses and changes in operating working capital. Tax timing is neutral.</x:v>
      </x:c>
      <x:c r="O57" s="40" t="str">
        <x:v>Historical CFO is reported. Forecast CFO bridges from net income through non-cash expenses and changes in operating working capital. Tax timing is neutral.</x:v>
      </x:c>
    </x:row>
    <x:row r="58" ht="24" customHeight="1">
      <x:c r="A58" s="2"/>
      <x:c r="B58" s="2"/>
      <x:c r="C58" s="2" t="str">
        <x:v>Stock-based compensation</x:v>
      </x:c>
      <x:c r="D58" s="2" t="str">
        <x:v>$m</x:v>
      </x:c>
      <x:c r="E58" s="39" t="n">
        <x:f>'Sources'!E31</x:f>
        <x:v>8</x:v>
      </x:c>
      <x:c r="F58" s="39" t="n">
        <x:f>'Sources'!F31</x:f>
        <x:v>8.4</x:v>
      </x:c>
      <x:c r="G58" s="4" t="n">
        <x:f>G47</x:f>
        <x:v>9.184560000000001</x:v>
      </x:c>
      <x:c r="H58" s="4" t="n">
        <x:f>H47</x:f>
        <x:v>9.735633600000002</x:v>
      </x:c>
      <x:c r="I58" s="4" t="n">
        <x:f>I47</x:f>
        <x:v>10.125058944000003</x:v>
      </x:c>
      <x:c r="J58" s="4" t="n">
        <x:f>J47</x:f>
        <x:v>10.530061301760004</x:v>
      </x:c>
      <x:c r="K58" s="4" t="n">
        <x:f>K47</x:f>
        <x:v>11.056564366848002</x:v>
      </x:c>
      <x:c r="L58" s="2"/>
      <x:c r="M58" s="40" t="str">
        <x:v>Historical CFO is reported. Forecast CFO bridges from net income through non-cash expenses and changes in operating working capital. Tax timing is neutral.</x:v>
      </x:c>
      <x:c r="N58" s="40" t="str">
        <x:v>Historical CFO is reported. Forecast CFO bridges from net income through non-cash expenses and changes in operating working capital. Tax timing is neutral.</x:v>
      </x:c>
      <x:c r="O58" s="40" t="str">
        <x:v>Historical CFO is reported. Forecast CFO bridges from net income through non-cash expenses and changes in operating working capital. Tax timing is neutral.</x:v>
      </x:c>
    </x:row>
    <x:row r="59" ht="24" customHeight="1">
      <x:c r="A59" s="2"/>
      <x:c r="B59" s="2"/>
      <x:c r="C59" s="2" t="str">
        <x:v>Other non-cash adjustments</x:v>
      </x:c>
      <x:c r="D59" s="2" t="str">
        <x:v>$m</x:v>
      </x:c>
      <x:c r="E59" s="4" t="n">
        <x:f>E48</x:f>
        <x:v>-6.6</x:v>
      </x:c>
      <x:c r="F59" s="4" t="n">
        <x:f>F48</x:f>
        <x:v>-0.10000000000000053</x:v>
      </x:c>
      <x:c r="G59" s="4" t="n">
        <x:f>G48</x:f>
        <x:v>0</x:v>
      </x:c>
      <x:c r="H59" s="4" t="n">
        <x:f>H48</x:f>
        <x:v>0</x:v>
      </x:c>
      <x:c r="I59" s="4" t="n">
        <x:f>I48</x:f>
        <x:v>0</x:v>
      </x:c>
      <x:c r="J59" s="4" t="n">
        <x:f>J48</x:f>
        <x:v>0</x:v>
      </x:c>
      <x:c r="K59" s="4" t="n">
        <x:f>K48</x:f>
        <x:v>0</x:v>
      </x:c>
      <x:c r="L59" s="2"/>
      <x:c r="M59" s="40" t="str">
        <x:v>Historical CFO is reported. Forecast CFO bridges from net income through non-cash expenses and changes in operating working capital. Tax timing is neutral.</x:v>
      </x:c>
      <x:c r="N59" s="40" t="str">
        <x:v>Historical CFO is reported. Forecast CFO bridges from net income through non-cash expenses and changes in operating working capital. Tax timing is neutral.</x:v>
      </x:c>
      <x:c r="O59" s="40" t="str">
        <x:v>Historical CFO is reported. Forecast CFO bridges from net income through non-cash expenses and changes in operating working capital. Tax timing is neutral.</x:v>
      </x:c>
    </x:row>
    <x:row r="60" ht="24" customHeight="1">
      <x:c r="A60" s="2"/>
      <x:c r="B60" s="2"/>
      <x:c r="C60" s="2" t="str">
        <x:v>Cash effect: operating working capital</x:v>
      </x:c>
      <x:c r="D60" s="2" t="str">
        <x:v>$m</x:v>
      </x:c>
      <x:c r="E60" s="39" t="n">
        <x:f>SUM('Sources'!E36:E42)</x:f>
        <x:v>-154.10000000000002</x:v>
      </x:c>
      <x:c r="F60" s="39" t="n">
        <x:f>SUM('Sources'!F36:F42)</x:f>
        <x:v>-150.00000000000003</x:v>
      </x:c>
      <x:c r="G60" s="4" t="n">
        <x:f>-G40</x:f>
        <x:v>-434.8142980821922</x:v>
      </x:c>
      <x:c r="H60" s="4" t="n">
        <x:f>-H40</x:f>
        <x:v>-259.70261856000025</x:v>
      </x:c>
      <x:c r="I60" s="4" t="n">
        <x:f>-I40</x:f>
        <x:v>-197.32768985792882</x:v>
      </x:c>
      <x:c r="J60" s="4" t="n">
        <x:f>-J40</x:f>
        <x:v>-142.9991201543021</x:v>
      </x:c>
      <x:c r="K60" s="4" t="n">
        <x:f>-K40</x:f>
        <x:v>-181.42718633272125</x:v>
      </x:c>
      <x:c r="L60" s="2"/>
      <x:c r="M60" s="40" t="str">
        <x:v>Historical CFO is reported. Forecast CFO bridges from net income through non-cash expenses and changes in operating working capital. Tax timing is neutral.</x:v>
      </x:c>
      <x:c r="N60" s="40" t="str">
        <x:v>Historical CFO is reported. Forecast CFO bridges from net income through non-cash expenses and changes in operating working capital. Tax timing is neutral.</x:v>
      </x:c>
      <x:c r="O60" s="40" t="str">
        <x:v>Historical CFO is reported. Forecast CFO bridges from net income through non-cash expenses and changes in operating working capital. Tax timing is neutral.</x:v>
      </x:c>
    </x:row>
    <x:row r="61" ht="24" customHeight="1">
      <x:c r="A61" s="2"/>
      <x:c r="B61" s="2"/>
      <x:c r="C61" s="49" t="str">
        <x:v>Operating cash flow</x:v>
      </x:c>
      <x:c r="D61" s="49" t="str">
        <x:v>$m</x:v>
      </x:c>
      <x:c r="E61" s="50" t="n">
        <x:f>'Sources'!E44</x:f>
        <x:v>1173.3</x:v>
      </x:c>
      <x:c r="F61" s="50" t="n">
        <x:f>'Sources'!F44</x:f>
        <x:v>1295.9</x:v>
      </x:c>
      <x:c r="G61" s="51" t="n">
        <x:f>SUM(G56:G60)</x:f>
        <x:v>1133.761596957808</x:v>
      </x:c>
      <x:c r="H61" s="51" t="n">
        <x:f>SUM(H56:H60)</x:f>
        <x:v>1388.3064947135997</x:v>
      </x:c>
      <x:c r="I61" s="51" t="n">
        <x:f>SUM(I56:I60)</x:f>
        <x:v>1501.3331990590636</x:v>
      </x:c>
      <x:c r="J61" s="51" t="n">
        <x:f>SUM(J56:J60)</x:f>
        <x:v>1631.5478705408973</x:v>
      </x:c>
      <x:c r="K61" s="51" t="n">
        <x:f>SUM(K56:K60)</x:f>
        <x:v>1690.183803429841</x:v>
      </x:c>
      <x:c r="L61" s="2"/>
      <x:c r="M61" s="40" t="str">
        <x:v>Historical CFO is reported. Forecast CFO bridges from net income through non-cash expenses and changes in operating working capital. Tax timing is neutral.</x:v>
      </x:c>
      <x:c r="N61" s="40" t="str">
        <x:v>Historical CFO is reported. Forecast CFO bridges from net income through non-cash expenses and changes in operating working capital. Tax timing is neutral.</x:v>
      </x:c>
      <x:c r="O61" s="40" t="str">
        <x:v>Historical CFO is reported. Forecast CFO bridges from net income through non-cash expenses and changes in operating working capital. Tax timing is neutral.</x:v>
      </x:c>
    </x:row>
    <x:row r="62" ht="22" customHeight="1">
      <x:c r="A62" s="2"/>
      <x:c r="B62" s="2"/>
      <x:c r="C62" s="2" t="str">
        <x:v>Net capex</x:v>
      </x:c>
      <x:c r="D62" s="2" t="str">
        <x:v>$m</x:v>
      </x:c>
      <x:c r="E62" s="4" t="n">
        <x:f>E53</x:f>
        <x:v>214.1</x:v>
      </x:c>
      <x:c r="F62" s="4" t="n">
        <x:f>F53</x:f>
        <x:v>230.5</x:v>
      </x:c>
      <x:c r="G62" s="4" t="n">
        <x:f>G53</x:f>
        <x:v>310</x:v>
      </x:c>
      <x:c r="H62" s="4" t="n">
        <x:f>H53</x:f>
        <x:v>294.0161347200001</x:v>
      </x:c>
      <x:c r="I62" s="4" t="n">
        <x:f>I53</x:f>
        <x:v>305.7767801088001</x:v>
      </x:c>
      <x:c r="J62" s="4" t="n">
        <x:f>J53</x:f>
        <x:v>318.0078513131521</x:v>
      </x:c>
      <x:c r="K62" s="4" t="n">
        <x:f>K53</x:f>
        <x:v>333.9082438788097</x:v>
      </x:c>
      <x:c r="L62" s="2"/>
      <x:c r="M62" s="2"/>
      <x:c r="N62" s="2"/>
      <x:c r="O62" s="2"/>
    </x:row>
    <x:row r="63" ht="22" customHeight="1">
      <x:c r="A63" s="2"/>
      <x:c r="B63" s="2"/>
      <x:c r="C63" s="56" t="str">
        <x:v>Free cash flow</x:v>
      </x:c>
      <x:c r="D63" s="56" t="str">
        <x:v>$m</x:v>
      </x:c>
      <x:c r="E63" s="57" t="n">
        <x:f>E61-E62</x:f>
        <x:v>959.1999999999999</x:v>
      </x:c>
      <x:c r="F63" s="57" t="n">
        <x:f>F61-F62</x:f>
        <x:v>1065.4</x:v>
      </x:c>
      <x:c r="G63" s="57" t="n">
        <x:f>G61-G62</x:f>
        <x:v>823.761596957808</x:v>
      </x:c>
      <x:c r="H63" s="57" t="n">
        <x:f>H61-H62</x:f>
        <x:v>1094.2903599935996</x:v>
      </x:c>
      <x:c r="I63" s="57" t="n">
        <x:f>I61-I62</x:f>
        <x:v>1195.5564189502636</x:v>
      </x:c>
      <x:c r="J63" s="57" t="n">
        <x:f>J61-J62</x:f>
        <x:v>1313.5400192277452</x:v>
      </x:c>
      <x:c r="K63" s="57" t="n">
        <x:f>K61-K62</x:f>
        <x:v>1356.2755595510312</x:v>
      </x:c>
      <x:c r="L63" s="2"/>
      <x:c r="M63" s="2"/>
      <x:c r="N63" s="2"/>
      <x:c r="O63" s="2"/>
    </x:row>
    <x:row r="64" ht="22" customHeight="1">
      <x:c r="A64" s="2"/>
      <x:c r="B64" s="2"/>
      <x:c r="C64" s="2" t="str">
        <x:v>FCF / net income</x:v>
      </x:c>
      <x:c r="D64" s="2" t="str">
        <x:v>%</x:v>
      </x:c>
      <x:c r="E64" s="44" t="n">
        <x:f>E63/E56</x:f>
        <x:v>0.8336520076481836</x:v>
      </x:c>
      <x:c r="F64" s="44" t="n">
        <x:f>F63/F56</x:f>
        <x:v>0.8466306420851876</x:v>
      </x:c>
      <x:c r="G64" s="44" t="n">
        <x:f>G63/G56</x:f>
        <x:v>0.6068980873715112</x:v>
      </x:c>
      <x:c r="H64" s="44" t="n">
        <x:f>H63/H56</x:f>
        <x:v>0.7684140139317917</x:v>
      </x:c>
      <x:c r="I64" s="44" t="n">
        <x:f>I63/I56</x:f>
        <x:v>0.8156426758959825</x:v>
      </x:c>
      <x:c r="J64" s="44" t="n">
        <x:f>J63/J56</x:f>
        <x:v>0.8572031424852432</x:v>
      </x:c>
      <x:c r="K64" s="44" t="n">
        <x:f>K63/K56</x:f>
        <x:v>0.8385996201909596</x:v>
      </x:c>
      <x:c r="L64" s="2"/>
      <x:c r="M64" s="2"/>
      <x:c r="N64" s="2"/>
      <x:c r="O64" s="2"/>
    </x:row>
    <x:row r="65" ht="22" customHeight="1">
      <x:c r="A65" s="2"/>
      <x:c r="B65" s="2"/>
      <x:c r="C65" s="2" t="str">
        <x:v>FCF margin</x:v>
      </x:c>
      <x:c r="D65" s="2" t="str">
        <x:v>%</x:v>
      </x:c>
      <x:c r="E65" s="44" t="n">
        <x:f>E63/E9</x:f>
        <x:v>0.1271137026239067</x:v>
      </x:c>
      <x:c r="F65" s="44" t="n">
        <x:f>F63/F9</x:f>
        <x:v>0.12991890738369613</x:v>
      </x:c>
      <x:c r="G65" s="44" t="n">
        <x:f>G63/G9</x:f>
        <x:v>0.08968982694411141</x:v>
      </x:c>
      <x:c r="H65" s="44" t="n">
        <x:f>H63/H9</x:f>
        <x:v>0.11240052830188674</x:v>
      </x:c>
      <x:c r="I65" s="44" t="n">
        <x:f>I63/I9</x:f>
        <x:v>0.1180789589041096</x:v>
      </x:c>
      <x:c r="J65" s="44" t="n">
        <x:f>J63/J9</x:f>
        <x:v>0.12474191570073757</x:v>
      </x:c>
      <x:c r="K65" s="44" t="n">
        <x:f>K63/K9</x:f>
        <x:v>0.1226669980430528</x:v>
      </x:c>
      <x:c r="L65" s="2"/>
      <x:c r="M65" s="2"/>
      <x:c r="N65" s="2"/>
      <x:c r="O65" s="2"/>
    </x:row>
    <x:row r="66" ht="22" customHeight="1">
      <x:c r="A66" s="2"/>
      <x:c r="B66" s="2"/>
      <x:c r="C66" s="49" t="str">
        <x:v>Cumulative forecast FCF</x:v>
      </x:c>
      <x:c r="D66" s="49" t="str">
        <x:v>$m</x:v>
      </x:c>
      <x:c r="E66" s="51"/>
      <x:c r="F66" s="51"/>
      <x:c r="G66" s="51" t="n">
        <x:f>SUM($G63:G63)</x:f>
        <x:v>823.761596957808</x:v>
      </x:c>
      <x:c r="H66" s="51" t="n">
        <x:f>SUM($G63:H63)</x:f>
        <x:v>1918.0519569514076</x:v>
      </x:c>
      <x:c r="I66" s="51" t="n">
        <x:f>SUM($G63:I63)</x:f>
        <x:v>3113.608375901671</x:v>
      </x:c>
      <x:c r="J66" s="51" t="n">
        <x:f>SUM($G63:J63)</x:f>
        <x:v>4427.148395129416</x:v>
      </x:c>
      <x:c r="K66" s="51" t="n">
        <x:f>SUM($G63:K63)</x:f>
        <x:v>5783.423954680447</x:v>
      </x:c>
      <x:c r="L66" s="2"/>
      <x:c r="M66" s="2"/>
      <x:c r="N66" s="2"/>
      <x:c r="O66" s="2"/>
    </x:row>
    <x:row r="67" ht="22" customHeight="1">
      <x:c r="A67" s="2"/>
      <x:c r="B67" s="2"/>
      <x:c r="C67" s="2"/>
      <x:c r="D67" s="2"/>
      <x:c r="E67" s="4"/>
      <x:c r="F67" s="4"/>
      <x:c r="G67" s="4"/>
      <x:c r="H67" s="4"/>
      <x:c r="I67" s="4"/>
      <x:c r="J67" s="4"/>
      <x:c r="K67" s="4"/>
      <x:c r="L67" s="2"/>
      <x:c r="M67" s="2"/>
      <x:c r="N67" s="2"/>
      <x:c r="O67" s="2"/>
    </x:row>
    <x:row r="68" ht="26" customHeight="1">
      <x:c r="A68" s="2"/>
      <x:c r="B68" s="2"/>
      <x:c r="C68" s="26" t="str">
        <x:v>FY2026 forecast against H1 actuals</x:v>
      </x:c>
      <x:c r="D68" s="26" t="str">
        <x:v>FY2026 forecast against H1 actuals</x:v>
      </x:c>
      <x:c r="E68" s="27" t="str">
        <x:v>FY2026 forecast against H1 actuals</x:v>
      </x:c>
      <x:c r="F68" s="27" t="str">
        <x:v>FY2026 forecast against H1 actuals</x:v>
      </x:c>
      <x:c r="G68" s="27" t="str">
        <x:v>FY2026 forecast against H1 actuals</x:v>
      </x:c>
      <x:c r="H68" s="27" t="str">
        <x:v>FY2026 forecast against H1 actuals</x:v>
      </x:c>
      <x:c r="I68" s="27" t="str">
        <x:v>FY2026 forecast against H1 actuals</x:v>
      </x:c>
      <x:c r="J68" s="27" t="str">
        <x:v>FY2026 forecast against H1 actuals</x:v>
      </x:c>
      <x:c r="K68" s="27" t="str">
        <x:v>FY2026 forecast against H1 actuals</x:v>
      </x:c>
      <x:c r="L68" s="2"/>
      <x:c r="M68" s="2"/>
      <x:c r="N68" s="2"/>
      <x:c r="O68" s="2"/>
    </x:row>
    <x:row r="69" ht="24" customHeight="1">
      <x:c r="A69" s="2"/>
      <x:c r="B69" s="2"/>
      <x:c r="C69" s="2" t="str">
        <x:v>Sales: H1 reported</x:v>
      </x:c>
      <x:c r="D69" s="2" t="str">
        <x:v>$m</x:v>
      </x:c>
      <x:c r="E69" s="4"/>
      <x:c r="F69" s="4"/>
      <x:c r="G69" s="39" t="n">
        <x:f>'Sources'!H8</x:f>
        <x:v>4588.6</x:v>
      </x:c>
      <x:c r="H69" s="4"/>
      <x:c r="I69" s="4"/>
      <x:c r="J69" s="4"/>
      <x:c r="K69" s="4"/>
      <x:c r="L69" s="2"/>
      <x:c r="M69" s="40" t="str">
        <x:v>FY2026 is a full-year estimate. H2 is the forecast less H1 reported, exposing the implied remaining-year requirement.</x:v>
      </x:c>
      <x:c r="N69" s="40" t="str">
        <x:v>FY2026 is a full-year estimate. H2 is the forecast less H1 reported, exposing the implied remaining-year requirement.</x:v>
      </x:c>
      <x:c r="O69" s="40" t="str">
        <x:v>FY2026 is a full-year estimate. H2 is the forecast less H1 reported, exposing the implied remaining-year requirement.</x:v>
      </x:c>
    </x:row>
    <x:row r="70" ht="24" customHeight="1">
      <x:c r="A70" s="2"/>
      <x:c r="B70" s="2"/>
      <x:c r="C70" s="2" t="str">
        <x:v>Sales: H2 implied</x:v>
      </x:c>
      <x:c r="D70" s="2" t="str">
        <x:v>$m</x:v>
      </x:c>
      <x:c r="E70" s="4"/>
      <x:c r="F70" s="4"/>
      <x:c r="G70" s="4" t="n">
        <x:f>G9-G69</x:f>
        <x:v>4595.960000000001</x:v>
      </x:c>
      <x:c r="H70" s="4"/>
      <x:c r="I70" s="4"/>
      <x:c r="J70" s="4"/>
      <x:c r="K70" s="4"/>
      <x:c r="L70" s="2"/>
      <x:c r="M70" s="40" t="str">
        <x:v>FY2026 is a full-year estimate. H2 is the forecast less H1 reported, exposing the implied remaining-year requirement.</x:v>
      </x:c>
      <x:c r="N70" s="40" t="str">
        <x:v>FY2026 is a full-year estimate. H2 is the forecast less H1 reported, exposing the implied remaining-year requirement.</x:v>
      </x:c>
      <x:c r="O70" s="40" t="str">
        <x:v>FY2026 is a full-year estimate. H2 is the forecast less H1 reported, exposing the implied remaining-year requirement.</x:v>
      </x:c>
    </x:row>
    <x:row r="71" ht="24" customHeight="1">
      <x:c r="A71" s="2"/>
      <x:c r="B71" s="2"/>
      <x:c r="C71" s="2" t="str">
        <x:v>H2 implied sales growth</x:v>
      </x:c>
      <x:c r="D71" s="2" t="str">
        <x:v>%</x:v>
      </x:c>
      <x:c r="E71" s="44"/>
      <x:c r="F71" s="44"/>
      <x:c r="G71" s="45" t="n">
        <x:f>G70/('Sources'!F8-'Sources'!G8)-1</x:f>
        <x:v>0.10458565660449937</x:v>
      </x:c>
      <x:c r="H71" s="44"/>
      <x:c r="I71" s="44"/>
      <x:c r="J71" s="44"/>
      <x:c r="K71" s="44"/>
      <x:c r="L71" s="2"/>
      <x:c r="M71" s="40" t="str">
        <x:v>FY2026 is a full-year estimate. H2 is the forecast less H1 reported, exposing the implied remaining-year requirement.</x:v>
      </x:c>
      <x:c r="N71" s="40" t="str">
        <x:v>FY2026 is a full-year estimate. H2 is the forecast less H1 reported, exposing the implied remaining-year requirement.</x:v>
      </x:c>
      <x:c r="O71" s="40" t="str">
        <x:v>FY2026 is a full-year estimate. H2 is the forecast less H1 reported, exposing the implied remaining-year requirement.</x:v>
      </x:c>
    </x:row>
    <x:row r="72" ht="24" customHeight="1">
      <x:c r="A72" s="2"/>
      <x:c r="B72" s="2"/>
      <x:c r="C72" s="2" t="str">
        <x:v>EBIT: H1 reported</x:v>
      </x:c>
      <x:c r="D72" s="2" t="str">
        <x:v>$m</x:v>
      </x:c>
      <x:c r="E72" s="4"/>
      <x:c r="F72" s="4"/>
      <x:c r="G72" s="39" t="n">
        <x:f>'Sources'!H12</x:f>
        <x:v>949.4</x:v>
      </x:c>
      <x:c r="H72" s="4"/>
      <x:c r="I72" s="4"/>
      <x:c r="J72" s="4"/>
      <x:c r="K72" s="4"/>
      <x:c r="L72" s="2"/>
      <x:c r="M72" s="40" t="str">
        <x:v>FY2026 is a full-year estimate. H2 is the forecast less H1 reported, exposing the implied remaining-year requirement.</x:v>
      </x:c>
      <x:c r="N72" s="40" t="str">
        <x:v>FY2026 is a full-year estimate. H2 is the forecast less H1 reported, exposing the implied remaining-year requirement.</x:v>
      </x:c>
      <x:c r="O72" s="40" t="str">
        <x:v>FY2026 is a full-year estimate. H2 is the forecast less H1 reported, exposing the implied remaining-year requirement.</x:v>
      </x:c>
    </x:row>
    <x:row r="73" ht="24" customHeight="1">
      <x:c r="A73" s="2"/>
      <x:c r="B73" s="2"/>
      <x:c r="C73" s="2" t="str">
        <x:v>EBIT: H2 implied</x:v>
      </x:c>
      <x:c r="D73" s="2" t="str">
        <x:v>$m</x:v>
      </x:c>
      <x:c r="E73" s="4"/>
      <x:c r="F73" s="4"/>
      <x:c r="G73" s="4" t="n">
        <x:f>G17-G72</x:f>
        <x:v>850.7737600000002</x:v>
      </x:c>
      <x:c r="H73" s="4"/>
      <x:c r="I73" s="4"/>
      <x:c r="J73" s="4"/>
      <x:c r="K73" s="4"/>
      <x:c r="L73" s="2"/>
      <x:c r="M73" s="40" t="str">
        <x:v>FY2026 is a full-year estimate. H2 is the forecast less H1 reported, exposing the implied remaining-year requirement.</x:v>
      </x:c>
      <x:c r="N73" s="40" t="str">
        <x:v>FY2026 is a full-year estimate. H2 is the forecast less H1 reported, exposing the implied remaining-year requirement.</x:v>
      </x:c>
      <x:c r="O73" s="40" t="str">
        <x:v>FY2026 is a full-year estimate. H2 is the forecast less H1 reported, exposing the implied remaining-year requirement.</x:v>
      </x:c>
    </x:row>
    <x:row r="74" ht="22" customHeight="1">
      <x:c r="A74" s="2"/>
      <x:c r="B74" s="2"/>
      <x:c r="C74" s="2" t="str">
        <x:v>H2 implied operating margin</x:v>
      </x:c>
      <x:c r="D74" s="2" t="str">
        <x:v>%</x:v>
      </x:c>
      <x:c r="E74" s="44"/>
      <x:c r="F74" s="44"/>
      <x:c r="G74" s="44" t="n">
        <x:f>G73/G70</x:f>
        <x:v>0.18511339524277842</x:v>
      </x:c>
      <x:c r="H74" s="44"/>
      <x:c r="I74" s="44"/>
      <x:c r="J74" s="44"/>
      <x:c r="K74" s="44"/>
      <x:c r="L74" s="2"/>
      <x:c r="M74" s="2"/>
      <x:c r="N74" s="2"/>
      <x:c r="O74" s="2"/>
    </x:row>
    <x:row r="75" ht="22" customHeight="1">
      <x:c r="A75" s="2"/>
      <x:c r="B75" s="2"/>
      <x:c r="C75" s="2" t="str">
        <x:v>CFO: H1 reported</x:v>
      </x:c>
      <x:c r="D75" s="2" t="str">
        <x:v>$m</x:v>
      </x:c>
      <x:c r="E75" s="4"/>
      <x:c r="F75" s="4"/>
      <x:c r="G75" s="39" t="n">
        <x:f>'Sources'!H44</x:f>
        <x:v>644.1</x:v>
      </x:c>
      <x:c r="H75" s="4"/>
      <x:c r="I75" s="4"/>
      <x:c r="J75" s="4"/>
      <x:c r="K75" s="4"/>
      <x:c r="L75" s="2"/>
      <x:c r="M75" s="2"/>
      <x:c r="N75" s="2"/>
      <x:c r="O75" s="2"/>
    </x:row>
    <x:row r="76" ht="22" customHeight="1">
      <x:c r="A76" s="2"/>
      <x:c r="B76" s="2"/>
      <x:c r="C76" s="2" t="str">
        <x:v>CFO: H2 implied</x:v>
      </x:c>
      <x:c r="D76" s="2" t="str">
        <x:v>$m</x:v>
      </x:c>
      <x:c r="E76" s="4"/>
      <x:c r="F76" s="4"/>
      <x:c r="G76" s="4" t="n">
        <x:f>G61-G75</x:f>
        <x:v>489.661596957808</x:v>
      </x:c>
      <x:c r="H76" s="4"/>
      <x:c r="I76" s="4"/>
      <x:c r="J76" s="4"/>
      <x:c r="K76" s="4"/>
      <x:c r="L76" s="2"/>
      <x:c r="M76" s="2"/>
      <x:c r="N76" s="2"/>
      <x:c r="O76" s="2"/>
    </x:row>
    <x:row r="77" ht="22" customHeight="1">
      <x:c r="A77" s="2"/>
      <x:c r="B77" s="2"/>
      <x:c r="C77" s="2" t="str">
        <x:v>Net capex: H1 reported</x:v>
      </x:c>
      <x:c r="D77" s="2" t="str">
        <x:v>$m</x:v>
      </x:c>
      <x:c r="E77" s="4"/>
      <x:c r="F77" s="4"/>
      <x:c r="G77" s="39" t="n">
        <x:f>'Sources'!H45-'Sources'!H46</x:f>
        <x:v>118.2</x:v>
      </x:c>
      <x:c r="H77" s="4"/>
      <x:c r="I77" s="4"/>
      <x:c r="J77" s="4"/>
      <x:c r="K77" s="4"/>
      <x:c r="L77" s="2"/>
      <x:c r="M77" s="2"/>
      <x:c r="N77" s="2"/>
      <x:c r="O77" s="2"/>
    </x:row>
    <x:row r="78" ht="22" customHeight="1">
      <x:c r="A78" s="2"/>
      <x:c r="B78" s="2"/>
      <x:c r="C78" s="2" t="str">
        <x:v>Net capex: H2 implied</x:v>
      </x:c>
      <x:c r="D78" s="2" t="str">
        <x:v>$m</x:v>
      </x:c>
      <x:c r="E78" s="4"/>
      <x:c r="F78" s="4"/>
      <x:c r="G78" s="4" t="n">
        <x:f>G53-G77</x:f>
        <x:v>191.8</x:v>
      </x:c>
      <x:c r="H78" s="4"/>
      <x:c r="I78" s="4"/>
      <x:c r="J78" s="4"/>
      <x:c r="K78" s="4"/>
      <x:c r="L78" s="2"/>
      <x:c r="M78" s="2"/>
      <x:c r="N78" s="2"/>
      <x:c r="O78" s="2"/>
    </x:row>
    <x:row r="79" ht="22" customHeight="1">
      <x:c r="A79" s="2"/>
      <x:c r="B79" s="2"/>
      <x:c r="C79" s="2"/>
      <x:c r="D79" s="2"/>
      <x:c r="E79" s="4"/>
      <x:c r="F79" s="4"/>
      <x:c r="G79" s="4"/>
      <x:c r="H79" s="4"/>
      <x:c r="I79" s="4"/>
      <x:c r="J79" s="4"/>
      <x:c r="K79" s="4"/>
      <x:c r="L79" s="2"/>
      <x:c r="M79" s="2"/>
      <x:c r="N79" s="2"/>
      <x:c r="O79" s="2"/>
    </x:row>
    <x:row r="80" ht="26" customHeight="1">
      <x:c r="A80" s="2"/>
      <x:c r="B80" s="2"/>
      <x:c r="C80" s="26" t="str">
        <x:v>Growth and operating leverage</x:v>
      </x:c>
      <x:c r="D80" s="26" t="str">
        <x:v>Growth and operating leverage</x:v>
      </x:c>
      <x:c r="E80" s="27" t="str">
        <x:v>Growth and operating leverage</x:v>
      </x:c>
      <x:c r="F80" s="27" t="str">
        <x:v>Growth and operating leverage</x:v>
      </x:c>
      <x:c r="G80" s="27" t="str">
        <x:v>Growth and operating leverage</x:v>
      </x:c>
      <x:c r="H80" s="27" t="str">
        <x:v>Growth and operating leverage</x:v>
      </x:c>
      <x:c r="I80" s="27" t="str">
        <x:v>Growth and operating leverage</x:v>
      </x:c>
      <x:c r="J80" s="27" t="str">
        <x:v>Growth and operating leverage</x:v>
      </x:c>
      <x:c r="K80" s="27" t="str">
        <x:v>Growth and operating leverage</x:v>
      </x:c>
      <x:c r="L80" s="2"/>
      <x:c r="M80" s="2"/>
      <x:c r="N80" s="2"/>
      <x:c r="O80" s="2"/>
    </x:row>
    <x:row r="81" ht="22" customHeight="1">
      <x:c r="A81" s="2"/>
      <x:c r="B81" s="2"/>
      <x:c r="C81" s="2" t="str">
        <x:v>Revenue CAGR, FY2025–30</x:v>
      </x:c>
      <x:c r="D81" s="2" t="str">
        <x:v>%</x:v>
      </x:c>
      <x:c r="E81" s="44"/>
      <x:c r="F81" s="44"/>
      <x:c r="G81" s="44"/>
      <x:c r="H81" s="44"/>
      <x:c r="I81" s="44"/>
      <x:c r="J81" s="44"/>
      <x:c r="K81" s="44" t="n">
        <x:f>(K9/$F9)^(1/5)-1</x:f>
        <x:v>0.06158793259124584</x:v>
      </x:c>
      <x:c r="L81" s="2"/>
      <x:c r="M81" s="2"/>
      <x:c r="N81" s="2"/>
      <x:c r="O81" s="2"/>
    </x:row>
    <x:row r="82" ht="22" customHeight="1">
      <x:c r="A82" s="2"/>
      <x:c r="B82" s="2"/>
      <x:c r="C82" s="2" t="str">
        <x:v>EPS CAGR, FY2025–30</x:v>
      </x:c>
      <x:c r="D82" s="2" t="str">
        <x:v>%</x:v>
      </x:c>
      <x:c r="E82" s="44"/>
      <x:c r="F82" s="44"/>
      <x:c r="G82" s="44"/>
      <x:c r="H82" s="44"/>
      <x:c r="I82" s="44"/>
      <x:c r="J82" s="44"/>
      <x:c r="K82" s="44" t="n">
        <x:f>(K24/$F24)^(1/5)-1</x:f>
        <x:v>0.05217621797593863</x:v>
      </x:c>
      <x:c r="L82" s="2"/>
      <x:c r="M82" s="2"/>
      <x:c r="N82" s="2"/>
      <x:c r="O82" s="2"/>
    </x:row>
    <x:row r="83" ht="22" customHeight="1">
      <x:c r="A83" s="2"/>
      <x:c r="B83" s="2"/>
      <x:c r="C83" s="2" t="str">
        <x:v>FCF CAGR, FY2025–30</x:v>
      </x:c>
      <x:c r="D83" s="2" t="str">
        <x:v>%</x:v>
      </x:c>
      <x:c r="E83" s="44"/>
      <x:c r="F83" s="44"/>
      <x:c r="G83" s="44"/>
      <x:c r="H83" s="44"/>
      <x:c r="I83" s="44"/>
      <x:c r="J83" s="44"/>
      <x:c r="K83" s="44" t="n">
        <x:f>(K63/$F63)^(1/5)-1</x:f>
        <x:v>0.04946279944998633</x:v>
      </x:c>
      <x:c r="L83" s="2"/>
      <x:c r="M83" s="2"/>
      <x:c r="N83" s="2"/>
      <x:c r="O83" s="2"/>
    </x:row>
    <x:row r="84" ht="22" customHeight="1">
      <x:c r="A84" s="2"/>
      <x:c r="B84" s="2"/>
      <x:c r="C84" s="2" t="str">
        <x:v>Incremental operating margin</x:v>
      </x:c>
      <x:c r="D84" s="2" t="str">
        <x:v>%</x:v>
      </x:c>
      <x:c r="E84" s="44"/>
      <x:c r="F84" s="44"/>
      <x:c r="G84" s="44" t="n">
        <x:f>IF(G9=F9,"n.a.",(G17-F17)/(G9-F9))</x:f>
        <x:v>0.1468139747576366</x:v>
      </x:c>
      <x:c r="H84" s="44" t="n">
        <x:f>IF(H9=G9,"n.a.",(H17-G17)/(H9-G9))</x:f>
        <x:v>0.16066666666666657</x:v>
      </x:c>
      <x:c r="I84" s="44" t="n">
        <x:f>IF(I9=H9,"n.a.",(I17-H17)/(I9-H9))</x:f>
        <x:v>0.14200000000000085</x:v>
      </x:c>
      <x:c r="J84" s="44" t="n">
        <x:f>IF(J9=I9,"n.a.",(J17-I17)/(J9-I9))</x:f>
        <x:v>0.21800000000000025</x:v>
      </x:c>
      <x:c r="K84" s="44" t="n">
        <x:f>IF(K9=J9,"n.a.",(K17-J17)/(K9-J9))</x:f>
        <x:v>0.21399999999999925</x:v>
      </x:c>
      <x:c r="L84" s="2"/>
      <x:c r="M84" s="2"/>
      <x:c r="N84" s="2"/>
      <x:c r="O84" s="2"/>
    </x:row>
    <x:row r="85" ht="22" customHeight="1">
      <x:c r="A85" s="2"/>
      <x:c r="B85" s="2"/>
      <x:c r="C85" s="2"/>
      <x:c r="D85" s="2"/>
      <x:c r="E85" s="4"/>
      <x:c r="F85" s="4"/>
      <x:c r="G85" s="4"/>
      <x:c r="H85" s="4"/>
      <x:c r="I85" s="4"/>
      <x:c r="J85" s="4"/>
      <x:c r="K85" s="4"/>
      <x:c r="L85" s="2"/>
      <x:c r="M85" s="2"/>
      <x:c r="N85" s="2"/>
      <x:c r="O85" s="2"/>
    </x:row>
    <x:row r="86" ht="22" customHeight="1">
      <x:c r="A86" s="2"/>
      <x:c r="B86" s="2"/>
      <x:c r="C86" s="2"/>
      <x:c r="D86" s="2"/>
      <x:c r="E86" s="4"/>
      <x:c r="F86" s="4"/>
      <x:c r="G86" s="4"/>
      <x:c r="H86" s="4"/>
      <x:c r="I86" s="4"/>
      <x:c r="J86" s="4"/>
      <x:c r="K86" s="4"/>
      <x:c r="L86" s="2"/>
      <x:c r="M86" s="2"/>
      <x:c r="N86" s="2"/>
      <x:c r="O86" s="2"/>
    </x:row>
    <x:row r="87" ht="22" customHeight="1">
      <x:c r="A87" s="2"/>
      <x:c r="B87" s="2"/>
      <x:c r="C87" s="2"/>
      <x:c r="D87" s="2"/>
      <x:c r="E87" s="4"/>
      <x:c r="F87" s="4"/>
      <x:c r="G87" s="4"/>
      <x:c r="H87" s="4"/>
      <x:c r="I87" s="4"/>
      <x:c r="J87" s="4"/>
      <x:c r="K87" s="4"/>
      <x:c r="L87" s="2"/>
      <x:c r="M87" s="2"/>
      <x:c r="N87" s="2"/>
      <x:c r="O87" s="2"/>
    </x:row>
    <x:row r="88" ht="22" customHeight="1">
      <x:c r="A88" s="2"/>
      <x:c r="B88" s="2"/>
      <x:c r="C88" s="2"/>
      <x:c r="D88" s="2"/>
      <x:c r="E88" s="4"/>
      <x:c r="F88" s="4"/>
      <x:c r="G88" s="4"/>
      <x:c r="H88" s="4"/>
      <x:c r="I88" s="4"/>
      <x:c r="J88" s="4"/>
      <x:c r="K88" s="4"/>
      <x:c r="L88" s="2"/>
      <x:c r="M88" s="2"/>
      <x:c r="N88" s="2"/>
      <x:c r="O88" s="2"/>
    </x:row>
    <x:row r="89" ht="22" customHeight="1">
      <x:c r="A89" s="2"/>
      <x:c r="B89" s="2"/>
      <x:c r="C89" s="2"/>
      <x:c r="D89" s="2"/>
      <x:c r="E89" s="4"/>
      <x:c r="F89" s="4"/>
      <x:c r="G89" s="4"/>
      <x:c r="H89" s="4"/>
      <x:c r="I89" s="4"/>
      <x:c r="J89" s="4"/>
      <x:c r="K89" s="4"/>
      <x:c r="L89" s="2"/>
      <x:c r="M89" s="2"/>
      <x:c r="N89" s="2"/>
      <x:c r="O89" s="2"/>
    </x:row>
    <x:row r="90" ht="22" customHeight="1">
      <x:c r="A90" s="2"/>
      <x:c r="B90" s="2"/>
      <x:c r="C90" s="2"/>
      <x:c r="D90" s="2"/>
      <x:c r="E90" s="4"/>
      <x:c r="F90" s="4"/>
      <x:c r="G90" s="4"/>
      <x:c r="H90" s="4"/>
      <x:c r="I90" s="4"/>
      <x:c r="J90" s="4"/>
      <x:c r="K90" s="4"/>
      <x:c r="L90" s="2"/>
      <x:c r="M90" s="2"/>
      <x:c r="N90" s="2"/>
      <x:c r="O90" s="2"/>
    </x:row>
    <x:row r="91" ht="22" customHeight="1">
      <x:c r="A91" s="2"/>
      <x:c r="B91" s="2"/>
      <x:c r="C91" s="2"/>
      <x:c r="D91" s="2"/>
      <x:c r="E91" s="4"/>
      <x:c r="F91" s="4"/>
      <x:c r="G91" s="4"/>
      <x:c r="H91" s="4"/>
      <x:c r="I91" s="4"/>
      <x:c r="J91" s="4"/>
      <x:c r="K91" s="4"/>
      <x:c r="L91" s="2"/>
      <x:c r="M91" s="2"/>
      <x:c r="N91" s="2"/>
      <x:c r="O91" s="2"/>
    </x:row>
    <x:row r="92" ht="22" customHeight="1">
      <x:c r="A92" s="2"/>
      <x:c r="B92" s="2"/>
      <x:c r="C92" s="2"/>
      <x:c r="D92" s="2"/>
      <x:c r="E92" s="4"/>
      <x:c r="F92" s="4"/>
      <x:c r="G92" s="4"/>
      <x:c r="H92" s="4"/>
      <x:c r="I92" s="4"/>
      <x:c r="J92" s="4"/>
      <x:c r="K92" s="4"/>
      <x:c r="L92" s="2"/>
      <x:c r="M92" s="2"/>
      <x:c r="N92" s="2"/>
      <x:c r="O92" s="2"/>
    </x:row>
    <x:row r="93" ht="22" customHeight="1">
      <x:c r="A93" s="2"/>
      <x:c r="B93" s="2"/>
      <x:c r="C93" s="2"/>
      <x:c r="D93" s="2"/>
      <x:c r="E93" s="4"/>
      <x:c r="F93" s="4"/>
      <x:c r="G93" s="4"/>
      <x:c r="H93" s="4"/>
      <x:c r="I93" s="4"/>
      <x:c r="J93" s="4"/>
      <x:c r="K93" s="4"/>
      <x:c r="L93" s="2"/>
      <x:c r="M93" s="2"/>
      <x:c r="N93" s="2"/>
      <x:c r="O93" s="2"/>
    </x:row>
    <x:row r="94" ht="22" customHeight="1">
      <x:c r="A94" s="2"/>
      <x:c r="B94" s="2"/>
      <x:c r="C94" s="2"/>
      <x:c r="D94" s="2"/>
      <x:c r="E94" s="4"/>
      <x:c r="F94" s="4"/>
      <x:c r="G94" s="4"/>
      <x:c r="H94" s="4"/>
      <x:c r="I94" s="4"/>
      <x:c r="J94" s="4"/>
      <x:c r="K94" s="4"/>
      <x:c r="L94" s="2"/>
      <x:c r="M94" s="2"/>
      <x:c r="N94" s="2"/>
      <x:c r="O94" s="2"/>
    </x:row>
    <x:row r="95" ht="27" customHeight="1">
      <x:c r="A95" s="2"/>
      <x:c r="B95" s="2"/>
      <x:c r="C95" s="19" t="str">
        <x:v>Line item</x:v>
      </x:c>
      <x:c r="D95" s="19" t="str">
        <x:v>Unit</x:v>
      </x:c>
      <x:c r="E95" s="20" t="str">
        <x:v>FY2024 A</x:v>
      </x:c>
      <x:c r="F95" s="20" t="str">
        <x:v>FY2025 A</x:v>
      </x:c>
      <x:c r="G95" s="20" t="str">
        <x:v>FY2026 E</x:v>
      </x:c>
      <x:c r="H95" s="20" t="str">
        <x:v>FY2027 E</x:v>
      </x:c>
      <x:c r="I95" s="20" t="str">
        <x:v>FY2028 E</x:v>
      </x:c>
      <x:c r="J95" s="20" t="str">
        <x:v>FY2029 E</x:v>
      </x:c>
      <x:c r="K95" s="20" t="str">
        <x:v>FY2030 E</x:v>
      </x:c>
      <x:c r="L95" s="2"/>
      <x:c r="M95" s="2"/>
      <x:c r="N95" s="2"/>
      <x:c r="O95" s="2"/>
    </x:row>
    <x:row r="96" ht="26" customHeight="1">
      <x:c r="A96" s="2"/>
      <x:c r="B96" s="2"/>
      <x:c r="C96" s="26" t="str">
        <x:v>Base case</x:v>
      </x:c>
      <x:c r="D96" s="26" t="str">
        <x:v>Base case</x:v>
      </x:c>
      <x:c r="E96" s="27" t="str">
        <x:v>Base case</x:v>
      </x:c>
      <x:c r="F96" s="27" t="str">
        <x:v>Base case</x:v>
      </x:c>
      <x:c r="G96" s="27" t="str">
        <x:v>Base case</x:v>
      </x:c>
      <x:c r="H96" s="27" t="str">
        <x:v>Base case</x:v>
      </x:c>
      <x:c r="I96" s="27" t="str">
        <x:v>Base case</x:v>
      </x:c>
      <x:c r="J96" s="27" t="str">
        <x:v>Base case</x:v>
      </x:c>
      <x:c r="K96" s="27" t="str">
        <x:v>Base case</x:v>
      </x:c>
      <x:c r="L96" s="2"/>
      <x:c r="M96" s="2"/>
      <x:c r="N96" s="2"/>
      <x:c r="O96" s="2"/>
    </x:row>
    <x:row r="97" ht="22" customHeight="1">
      <x:c r="A97" s="2"/>
      <x:c r="B97" s="2"/>
      <x:c r="C97" s="2" t="str">
        <x:v>Revenue</x:v>
      </x:c>
      <x:c r="D97" s="2" t="str">
        <x:v>$m</x:v>
      </x:c>
      <x:c r="E97" s="39" t="n">
        <x:f>'Sources'!E8</x:f>
        <x:v>7546</x:v>
      </x:c>
      <x:c r="F97" s="39" t="n">
        <x:f>'Sources'!F8</x:f>
        <x:v>8200.5</x:v>
      </x:c>
      <x:c r="G97" s="4" t="n">
        <x:f>F97*(1+G98)</x:f>
        <x:v>9348.570000000002</x:v>
      </x:c>
      <x:c r="H97" s="4" t="n">
        <x:f>G97*(1+H98)</x:f>
        <x:v>10283.427000000003</x:v>
      </x:c>
      <x:c r="I97" s="4" t="n">
        <x:f>H97*(1+I98)</x:f>
        <x:v>11208.935430000005</x:v>
      </x:c>
      <x:c r="J97" s="4" t="n">
        <x:f>I97*(1+J98)</x:f>
        <x:v>12105.650264400007</x:v>
      </x:c>
      <x:c r="K97" s="4" t="n">
        <x:f>J97*(1+K98)</x:f>
        <x:v>13074.102285552008</x:v>
      </x:c>
      <x:c r="L97" s="2"/>
      <x:c r="M97" s="2"/>
      <x:c r="N97" s="2"/>
      <x:c r="O97" s="2"/>
    </x:row>
    <x:row r="98" ht="22" customHeight="1">
      <x:c r="A98" s="2"/>
      <x:c r="B98" s="2"/>
      <x:c r="C98" s="2" t="str">
        <x:v>Revenue growth</x:v>
      </x:c>
      <x:c r="D98" s="2" t="str">
        <x:v>%</x:v>
      </x:c>
      <x:c r="E98" s="44"/>
      <x:c r="F98" s="44" t="n">
        <x:f>F97/E97-1</x:f>
        <x:v>0.08673469387755106</x:v>
      </x:c>
      <x:c r="G98" s="45" t="n">
        <x:f>IF(ISNUMBER('Assumptions'!G11),'Assumptions'!G11,NA())</x:f>
        <x:v>0.14</x:v>
      </x:c>
      <x:c r="H98" s="45" t="n">
        <x:f>IF(ISNUMBER('Assumptions'!H11),'Assumptions'!H11,NA())</x:f>
        <x:v>0.1</x:v>
      </x:c>
      <x:c r="I98" s="45" t="n">
        <x:f>IF(ISNUMBER('Assumptions'!I11),'Assumptions'!I11,NA())</x:f>
        <x:v>0.09</x:v>
      </x:c>
      <x:c r="J98" s="45" t="n">
        <x:f>IF(ISNUMBER('Assumptions'!J11),'Assumptions'!J11,NA())</x:f>
        <x:v>0.08</x:v>
      </x:c>
      <x:c r="K98" s="45" t="n">
        <x:f>IF(ISNUMBER('Assumptions'!K11),'Assumptions'!K11,NA())</x:f>
        <x:v>0.08</x:v>
      </x:c>
      <x:c r="L98" s="2"/>
      <x:c r="M98" s="2"/>
      <x:c r="N98" s="2"/>
      <x:c r="O98" s="2"/>
    </x:row>
    <x:row r="99" ht="22" customHeight="1">
      <x:c r="A99" s="2"/>
      <x:c r="B99" s="2"/>
      <x:c r="C99" s="2" t="str">
        <x:v>Cost of sales</x:v>
      </x:c>
      <x:c r="D99" s="2" t="str">
        <x:v>$m</x:v>
      </x:c>
      <x:c r="E99" s="39" t="n">
        <x:f>'Sources'!E9</x:f>
        <x:v>4144.1</x:v>
      </x:c>
      <x:c r="F99" s="39" t="n">
        <x:f>'Sources'!F9</x:f>
        <x:v>4509.3</x:v>
      </x:c>
      <x:c r="G99" s="4" t="n">
        <x:f>G97-G100</x:f>
        <x:v>5188.45635</x:v>
      </x:c>
      <x:c r="H99" s="4" t="n">
        <x:f>H97-H100</x:f>
        <x:v>5717.585412000002</x:v>
      </x:c>
      <x:c r="I99" s="4" t="n">
        <x:f>I97-I100</x:f>
        <x:v>6232.168099080002</x:v>
      </x:c>
      <x:c r="J99" s="4" t="n">
        <x:f>J97-J100</x:f>
        <x:v>6730.741547006403</x:v>
      </x:c>
      <x:c r="K99" s="4" t="n">
        <x:f>K97-K100</x:f>
        <x:v>7269.2008707669165</x:v>
      </x:c>
      <x:c r="L99" s="2"/>
      <x:c r="M99" s="2"/>
      <x:c r="N99" s="2"/>
      <x:c r="O99" s="2"/>
    </x:row>
    <x:row r="100" ht="22" customHeight="1">
      <x:c r="A100" s="2"/>
      <x:c r="B100" s="2"/>
      <x:c r="C100" s="2" t="str">
        <x:v>Gross profit</x:v>
      </x:c>
      <x:c r="D100" s="2" t="str">
        <x:v>$m</x:v>
      </x:c>
      <x:c r="E100" s="39" t="n">
        <x:f>'Sources'!E10</x:f>
        <x:v>3401.9</x:v>
      </x:c>
      <x:c r="F100" s="39" t="n">
        <x:f>'Sources'!F10</x:f>
        <x:v>3691.2</x:v>
      </x:c>
      <x:c r="G100" s="4" t="n">
        <x:f>G97*G102</x:f>
        <x:v>4160.113650000001</x:v>
      </x:c>
      <x:c r="H100" s="4" t="n">
        <x:f>H97*H102</x:f>
        <x:v>4565.841588000001</x:v>
      </x:c>
      <x:c r="I100" s="4" t="n">
        <x:f>I97*I102</x:f>
        <x:v>4976.767330920003</x:v>
      </x:c>
      <x:c r="J100" s="4" t="n">
        <x:f>J97*J102</x:f>
        <x:v>5374.908717393603</x:v>
      </x:c>
      <x:c r="K100" s="4" t="n">
        <x:f>K97*K102</x:f>
        <x:v>5804.901414785091</x:v>
      </x:c>
      <x:c r="L100" s="2"/>
      <x:c r="M100" s="2"/>
      <x:c r="N100" s="2"/>
      <x:c r="O100" s="2"/>
    </x:row>
    <x:row r="101" ht="22" customHeight="1">
      <x:c r="A101" s="2"/>
      <x:c r="B101" s="2"/>
      <x:c r="C101" s="2"/>
      <x:c r="D101" s="2"/>
      <x:c r="E101" s="4"/>
      <x:c r="F101" s="4"/>
      <x:c r="G101" s="4"/>
      <x:c r="H101" s="4"/>
      <x:c r="I101" s="4"/>
      <x:c r="J101" s="4"/>
      <x:c r="K101" s="4"/>
      <x:c r="L101" s="2"/>
      <x:c r="M101" s="2"/>
      <x:c r="N101" s="2"/>
      <x:c r="O101" s="2"/>
    </x:row>
    <x:row r="102" ht="22" customHeight="1">
      <x:c r="A102" s="2"/>
      <x:c r="B102" s="2"/>
      <x:c r="C102" s="2" t="str">
        <x:v>Gross margin</x:v>
      </x:c>
      <x:c r="D102" s="2" t="str">
        <x:v>%</x:v>
      </x:c>
      <x:c r="E102" s="44" t="n">
        <x:f>E100/E97</x:f>
        <x:v>0.45082162735223963</x:v>
      </x:c>
      <x:c r="F102" s="44" t="n">
        <x:f>F100/F97</x:f>
        <x:v>0.4501188951893177</x:v>
      </x:c>
      <x:c r="G102" s="45" t="n">
        <x:f>IF(ISNUMBER('Assumptions'!G17),'Assumptions'!G17,NA())</x:f>
        <x:v>0.445</x:v>
      </x:c>
      <x:c r="H102" s="45" t="n">
        <x:f>IF(ISNUMBER('Assumptions'!H17),'Assumptions'!H17,NA())</x:f>
        <x:v>0.444</x:v>
      </x:c>
      <x:c r="I102" s="45" t="n">
        <x:f>IF(ISNUMBER('Assumptions'!I17),'Assumptions'!I17,NA())</x:f>
        <x:v>0.444</x:v>
      </x:c>
      <x:c r="J102" s="45" t="n">
        <x:f>IF(ISNUMBER('Assumptions'!J17),'Assumptions'!J17,NA())</x:f>
        <x:v>0.444</x:v>
      </x:c>
      <x:c r="K102" s="45" t="n">
        <x:f>IF(ISNUMBER('Assumptions'!K17),'Assumptions'!K17,NA())</x:f>
        <x:v>0.444</x:v>
      </x:c>
      <x:c r="L102" s="2"/>
      <x:c r="M102" s="2"/>
      <x:c r="N102" s="2"/>
      <x:c r="O102" s="2"/>
    </x:row>
    <x:row r="103" ht="22" customHeight="1">
      <x:c r="A103" s="2"/>
      <x:c r="B103" s="2"/>
      <x:c r="C103" s="2" t="str">
        <x:v>SG&amp;A</x:v>
      </x:c>
      <x:c r="D103" s="2" t="str">
        <x:v>$m</x:v>
      </x:c>
      <x:c r="E103" s="39" t="n">
        <x:f>'Sources'!E11</x:f>
        <x:v>1891.9</x:v>
      </x:c>
      <x:c r="F103" s="39" t="n">
        <x:f>'Sources'!F11</x:f>
        <x:v>2035.5</x:v>
      </x:c>
      <x:c r="G103" s="4" t="n">
        <x:f>G97*G104</x:f>
        <x:v>2234.30823</x:v>
      </x:c>
      <x:c r="H103" s="4" t="n">
        <x:f>H97*H104</x:f>
        <x:v>2426.8887720000007</x:v>
      </x:c>
      <x:c r="I103" s="4" t="n">
        <x:f>I97*I104</x:f>
        <x:v>2622.8908906200013</x:v>
      </x:c>
      <x:c r="J103" s="4" t="n">
        <x:f>J97*J104</x:f>
        <x:v>2808.5108613408015</x:v>
      </x:c>
      <x:c r="K103" s="4" t="n">
        <x:f>K97*K104</x:f>
        <x:v>3020.117627962514</x:v>
      </x:c>
      <x:c r="L103" s="2"/>
      <x:c r="M103" s="2"/>
      <x:c r="N103" s="2"/>
      <x:c r="O103" s="2"/>
    </x:row>
    <x:row r="104" ht="22" customHeight="1">
      <x:c r="A104" s="2"/>
      <x:c r="B104" s="2"/>
      <x:c r="C104" s="2" t="str">
        <x:v>SG&amp;A / revenue</x:v>
      </x:c>
      <x:c r="D104" s="2" t="str">
        <x:v>%</x:v>
      </x:c>
      <x:c r="E104" s="44" t="n">
        <x:f>E103/E97</x:f>
        <x:v>0.2507156109196926</x:v>
      </x:c>
      <x:c r="F104" s="44" t="n">
        <x:f>F103/F97</x:f>
        <x:v>0.24821657216023413</x:v>
      </x:c>
      <x:c r="G104" s="45" t="n">
        <x:f>IF(ISNUMBER('Assumptions'!G23),'Assumptions'!G23,NA())</x:f>
        <x:v>0.239</x:v>
      </x:c>
      <x:c r="H104" s="45" t="n">
        <x:f>IF(ISNUMBER('Assumptions'!H23),'Assumptions'!H23,NA())</x:f>
        <x:v>0.236</x:v>
      </x:c>
      <x:c r="I104" s="45" t="n">
        <x:f>IF(ISNUMBER('Assumptions'!I23),'Assumptions'!I23,NA())</x:f>
        <x:v>0.234</x:v>
      </x:c>
      <x:c r="J104" s="45" t="n">
        <x:f>IF(ISNUMBER('Assumptions'!J23),'Assumptions'!J23,NA())</x:f>
        <x:v>0.232</x:v>
      </x:c>
      <x:c r="K104" s="45" t="n">
        <x:f>IF(ISNUMBER('Assumptions'!K23),'Assumptions'!K23,NA())</x:f>
        <x:v>0.231</x:v>
      </x:c>
      <x:c r="L104" s="2"/>
      <x:c r="M104" s="2"/>
      <x:c r="N104" s="2"/>
      <x:c r="O104" s="2"/>
    </x:row>
    <x:row r="105" ht="22" customHeight="1">
      <x:c r="A105" s="2"/>
      <x:c r="B105" s="2"/>
      <x:c r="C105" s="49" t="str">
        <x:v>Operating income</x:v>
      </x:c>
      <x:c r="D105" s="49" t="str">
        <x:v>$m</x:v>
      </x:c>
      <x:c r="E105" s="50" t="n">
        <x:f>'Sources'!E12</x:f>
        <x:v>1510</x:v>
      </x:c>
      <x:c r="F105" s="50" t="n">
        <x:f>'Sources'!F12</x:f>
        <x:v>1655.7</x:v>
      </x:c>
      <x:c r="G105" s="51" t="n">
        <x:f>G100-G103</x:f>
        <x:v>1925.805420000001</x:v>
      </x:c>
      <x:c r="H105" s="51" t="n">
        <x:f>H100-H103</x:f>
        <x:v>2138.9528160000004</x:v>
      </x:c>
      <x:c r="I105" s="51" t="n">
        <x:f>I100-I103</x:f>
        <x:v>2353.8764403000014</x:v>
      </x:c>
      <x:c r="J105" s="51" t="n">
        <x:f>J100-J103</x:f>
        <x:v>2566.3978560528017</x:v>
      </x:c>
      <x:c r="K105" s="51" t="n">
        <x:f>K100-K103</x:f>
        <x:v>2784.7837868225774</x:v>
      </x:c>
      <x:c r="L105" s="2"/>
      <x:c r="M105" s="2"/>
      <x:c r="N105" s="2"/>
      <x:c r="O105" s="2"/>
    </x:row>
    <x:row r="106" ht="22" customHeight="1">
      <x:c r="A106" s="2"/>
      <x:c r="B106" s="2"/>
      <x:c r="C106" s="2" t="str">
        <x:v>Net interest income / (expense)</x:v>
      </x:c>
      <x:c r="D106" s="2" t="str">
        <x:v>$m</x:v>
      </x:c>
      <x:c r="E106" s="39" t="n">
        <x:f>'Sources'!E13-'Sources'!E14</x:f>
        <x:v>-1.8999999999999995</x:v>
      </x:c>
      <x:c r="F106" s="39" t="n">
        <x:f>'Sources'!F13-'Sources'!F14</x:f>
        <x:v>-0.7000000000000002</x:v>
      </x:c>
      <x:c r="G106" s="39" t="n">
        <x:f>IF(ISNUMBER('Assumptions'!G83),'Assumptions'!G83,NA())</x:f>
        <x:v>0</x:v>
      </x:c>
      <x:c r="H106" s="39" t="n">
        <x:f>IF(ISNUMBER('Assumptions'!H83),'Assumptions'!H83,NA())</x:f>
        <x:v>0</x:v>
      </x:c>
      <x:c r="I106" s="39" t="n">
        <x:f>IF(ISNUMBER('Assumptions'!I83),'Assumptions'!I83,NA())</x:f>
        <x:v>0</x:v>
      </x:c>
      <x:c r="J106" s="39" t="n">
        <x:f>IF(ISNUMBER('Assumptions'!J83),'Assumptions'!J83,NA())</x:f>
        <x:v>0</x:v>
      </x:c>
      <x:c r="K106" s="39" t="n">
        <x:f>IF(ISNUMBER('Assumptions'!K83),'Assumptions'!K83,NA())</x:f>
        <x:v>0</x:v>
      </x:c>
      <x:c r="L106" s="2"/>
      <x:c r="M106" s="2"/>
      <x:c r="N106" s="2"/>
      <x:c r="O106" s="2"/>
    </x:row>
    <x:row r="107" ht="22" customHeight="1">
      <x:c r="A107" s="2"/>
      <x:c r="B107" s="2"/>
      <x:c r="C107" s="2" t="str">
        <x:v>Income before taxes</x:v>
      </x:c>
      <x:c r="D107" s="2" t="str">
        <x:v>$m</x:v>
      </x:c>
      <x:c r="E107" s="39" t="n">
        <x:f>'Sources'!E15</x:f>
        <x:v>1508.1</x:v>
      </x:c>
      <x:c r="F107" s="39" t="n">
        <x:f>'Sources'!F15</x:f>
        <x:v>1655</x:v>
      </x:c>
      <x:c r="G107" s="4" t="n">
        <x:f>SUM(G105:G106)</x:f>
        <x:v>1925.805420000001</x:v>
      </x:c>
      <x:c r="H107" s="4" t="n">
        <x:f>SUM(H105:H106)</x:f>
        <x:v>2138.9528160000004</x:v>
      </x:c>
      <x:c r="I107" s="4" t="n">
        <x:f>SUM(I105:I106)</x:f>
        <x:v>2353.8764403000014</x:v>
      </x:c>
      <x:c r="J107" s="4" t="n">
        <x:f>SUM(J105:J106)</x:f>
        <x:v>2566.3978560528017</x:v>
      </x:c>
      <x:c r="K107" s="4" t="n">
        <x:f>SUM(K105:K106)</x:f>
        <x:v>2784.7837868225774</x:v>
      </x:c>
      <x:c r="L107" s="2"/>
      <x:c r="M107" s="2"/>
      <x:c r="N107" s="2"/>
      <x:c r="O107" s="2"/>
    </x:row>
    <x:row r="108" ht="22" customHeight="1">
      <x:c r="A108" s="2"/>
      <x:c r="B108" s="2"/>
      <x:c r="C108" s="2" t="str">
        <x:v>Income tax expense</x:v>
      </x:c>
      <x:c r="D108" s="2" t="str">
        <x:v>$m</x:v>
      </x:c>
      <x:c r="E108" s="39" t="n">
        <x:f>'Sources'!E16</x:f>
        <x:v>357.5</x:v>
      </x:c>
      <x:c r="F108" s="39" t="n">
        <x:f>'Sources'!F16</x:f>
        <x:v>396.6</x:v>
      </x:c>
      <x:c r="G108" s="4" t="n">
        <x:f>G107*G110</x:f>
        <x:v>473.74813332000025</x:v>
      </x:c>
      <x:c r="H108" s="4" t="n">
        <x:f>H107*H110</x:f>
        <x:v>526.1823927360001</x:v>
      </x:c>
      <x:c r="I108" s="4" t="n">
        <x:f>I107*I110</x:f>
        <x:v>579.0536043138003</x:v>
      </x:c>
      <x:c r="J108" s="4" t="n">
        <x:f>J107*J110</x:f>
        <x:v>631.3338725889892</x:v>
      </x:c>
      <x:c r="K108" s="4" t="n">
        <x:f>K107*K110</x:f>
        <x:v>685.0568115583541</x:v>
      </x:c>
      <x:c r="L108" s="2"/>
      <x:c r="M108" s="2"/>
      <x:c r="N108" s="2"/>
      <x:c r="O108" s="2"/>
    </x:row>
    <x:row r="109" ht="22" customHeight="1">
      <x:c r="A109" s="2"/>
      <x:c r="B109" s="2"/>
      <x:c r="C109" s="49" t="str">
        <x:v>Net income</x:v>
      </x:c>
      <x:c r="D109" s="49" t="str">
        <x:v>$m</x:v>
      </x:c>
      <x:c r="E109" s="50" t="n">
        <x:f>'Sources'!E17</x:f>
        <x:v>1150.6</x:v>
      </x:c>
      <x:c r="F109" s="50" t="n">
        <x:f>'Sources'!F17</x:f>
        <x:v>1258.4</x:v>
      </x:c>
      <x:c r="G109" s="51" t="n">
        <x:f>G107-G108</x:f>
        <x:v>1452.0572866800007</x:v>
      </x:c>
      <x:c r="H109" s="51" t="n">
        <x:f>H107-H108</x:f>
        <x:v>1612.7704232640003</x:v>
      </x:c>
      <x:c r="I109" s="51" t="n">
        <x:f>I107-I108</x:f>
        <x:v>1774.822835986201</x:v>
      </x:c>
      <x:c r="J109" s="51" t="n">
        <x:f>J107-J108</x:f>
        <x:v>1935.0639834638125</x:v>
      </x:c>
      <x:c r="K109" s="51" t="n">
        <x:f>K107-K108</x:f>
        <x:v>2099.7269752642233</x:v>
      </x:c>
      <x:c r="L109" s="2"/>
      <x:c r="M109" s="2"/>
      <x:c r="N109" s="2"/>
      <x:c r="O109" s="2"/>
    </x:row>
    <x:row r="110" ht="22" customHeight="1">
      <x:c r="A110" s="2"/>
      <x:c r="B110" s="2"/>
      <x:c r="C110" s="2" t="str">
        <x:v>Effective tax rate</x:v>
      </x:c>
      <x:c r="D110" s="2" t="str">
        <x:v>%</x:v>
      </x:c>
      <x:c r="E110" s="44" t="n">
        <x:f>E108/E107</x:f>
        <x:v>0.23705324580598106</x:v>
      </x:c>
      <x:c r="F110" s="44" t="n">
        <x:f>F108/F107</x:f>
        <x:v>0.23963746223564955</x:v>
      </x:c>
      <x:c r="G110" s="45" t="n">
        <x:f>IF(ISNUMBER('Assumptions'!G29),'Assumptions'!G29,NA())</x:f>
        <x:v>0.246</x:v>
      </x:c>
      <x:c r="H110" s="45" t="n">
        <x:f>IF(ISNUMBER('Assumptions'!H29),'Assumptions'!H29,NA())</x:f>
        <x:v>0.246</x:v>
      </x:c>
      <x:c r="I110" s="45" t="n">
        <x:f>IF(ISNUMBER('Assumptions'!I29),'Assumptions'!I29,NA())</x:f>
        <x:v>0.246</x:v>
      </x:c>
      <x:c r="J110" s="45" t="n">
        <x:f>IF(ISNUMBER('Assumptions'!J29),'Assumptions'!J29,NA())</x:f>
        <x:v>0.246</x:v>
      </x:c>
      <x:c r="K110" s="45" t="n">
        <x:f>IF(ISNUMBER('Assumptions'!K29),'Assumptions'!K29,NA())</x:f>
        <x:v>0.246</x:v>
      </x:c>
      <x:c r="L110" s="2"/>
      <x:c r="M110" s="2"/>
      <x:c r="N110" s="2"/>
      <x:c r="O110" s="2"/>
    </x:row>
    <x:row r="111" ht="22" customHeight="1">
      <x:c r="A111" s="2"/>
      <x:c r="B111" s="2"/>
      <x:c r="C111" s="2" t="str">
        <x:v>Diluted weighted-average shares</x:v>
      </x:c>
      <x:c r="D111" s="2" t="str">
        <x:v>m</x:v>
      </x:c>
      <x:c r="E111" s="39" t="n">
        <x:f>'Sources'!E18</x:f>
        <x:v>1148.6</x:v>
      </x:c>
      <x:c r="F111" s="39" t="n">
        <x:f>'Sources'!F18</x:f>
        <x:v>1150.3</x:v>
      </x:c>
      <x:c r="G111" s="39" t="n">
        <x:f>IF(ISNUMBER('Assumptions'!G89),'Assumptions'!G89,NA())</x:f>
        <x:v>1150.6</x:v>
      </x:c>
      <x:c r="H111" s="39" t="n">
        <x:f>IF(ISNUMBER('Assumptions'!H89),'Assumptions'!H89,NA())</x:f>
        <x:v>1150.6</x:v>
      </x:c>
      <x:c r="I111" s="39" t="n">
        <x:f>IF(ISNUMBER('Assumptions'!I89),'Assumptions'!I89,NA())</x:f>
        <x:v>1150.6</x:v>
      </x:c>
      <x:c r="J111" s="39" t="n">
        <x:f>IF(ISNUMBER('Assumptions'!J89),'Assumptions'!J89,NA())</x:f>
        <x:v>1150.6</x:v>
      </x:c>
      <x:c r="K111" s="39" t="n">
        <x:f>IF(ISNUMBER('Assumptions'!K89),'Assumptions'!K89,NA())</x:f>
        <x:v>1150.6</x:v>
      </x:c>
      <x:c r="L111" s="2"/>
      <x:c r="M111" s="2"/>
      <x:c r="N111" s="2"/>
      <x:c r="O111" s="2"/>
    </x:row>
    <x:row r="112" ht="22" customHeight="1">
      <x:c r="A112" s="2"/>
      <x:c r="B112" s="2"/>
      <x:c r="C112" s="49" t="str">
        <x:v>Diluted EPS</x:v>
      </x:c>
      <x:c r="D112" s="49" t="str">
        <x:v>$/share</x:v>
      </x:c>
      <x:c r="E112" s="54" t="n">
        <x:f>'Sources'!E19</x:f>
        <x:v>1</x:v>
      </x:c>
      <x:c r="F112" s="54" t="n">
        <x:f>'Sources'!F19</x:f>
        <x:v>1.09</x:v>
      </x:c>
      <x:c r="G112" s="55" t="n">
        <x:f>G109/G111</x:f>
        <x:v>1.2620000753346088</x:v>
      </x:c>
      <x:c r="H112" s="55" t="n">
        <x:f>H109/H111</x:f>
        <x:v>1.4016777535755263</x:v>
      </x:c>
      <x:c r="I112" s="55" t="n">
        <x:f>I109/I111</x:f>
        <x:v>1.5425194124684523</x:v>
      </x:c>
      <x:c r="J112" s="55" t="n">
        <x:f>J109/J111</x:f>
        <x:v>1.681786879422747</x:v>
      </x:c>
      <x:c r="K112" s="55" t="n">
        <x:f>K109/K111</x:f>
        <x:v>1.8248974233132482</x:v>
      </x:c>
      <x:c r="L112" s="2"/>
      <x:c r="M112" s="2"/>
      <x:c r="N112" s="2"/>
      <x:c r="O112" s="2"/>
    </x:row>
    <x:row r="113" ht="22" customHeight="1">
      <x:c r="A113" s="2"/>
      <x:c r="B113" s="2"/>
      <x:c r="C113" s="2" t="str">
        <x:v>Operating margin</x:v>
      </x:c>
      <x:c r="D113" s="2" t="str">
        <x:v>%</x:v>
      </x:c>
      <x:c r="E113" s="44" t="n">
        <x:f>E105/E97</x:f>
        <x:v>0.20010601643254705</x:v>
      </x:c>
      <x:c r="F113" s="44" t="n">
        <x:f>F105/F97</x:f>
        <x:v>0.2019023230290836</x:v>
      </x:c>
      <x:c r="G113" s="44" t="n">
        <x:f>G105/G97</x:f>
        <x:v>0.20600000000000007</x:v>
      </x:c>
      <x:c r="H113" s="44" t="n">
        <x:f>H105/H97</x:f>
        <x:v>0.20799999999999996</x:v>
      </x:c>
      <x:c r="I113" s="44" t="n">
        <x:f>I105/I97</x:f>
        <x:v>0.21000000000000002</x:v>
      </x:c>
      <x:c r="J113" s="44" t="n">
        <x:f>J105/J97</x:f>
        <x:v>0.21200000000000002</x:v>
      </x:c>
      <x:c r="K113" s="44" t="n">
        <x:f>K105/K97</x:f>
        <x:v>0.213</x:v>
      </x:c>
      <x:c r="L113" s="2"/>
      <x:c r="M113" s="2"/>
      <x:c r="N113" s="2"/>
      <x:c r="O113" s="2"/>
    </x:row>
    <x:row r="114" ht="22" customHeight="1">
      <x:c r="A114" s="2"/>
      <x:c r="B114" s="2"/>
      <x:c r="C114" s="2"/>
      <x:c r="D114" s="2"/>
      <x:c r="E114" s="4"/>
      <x:c r="F114" s="4"/>
      <x:c r="G114" s="4"/>
      <x:c r="H114" s="4"/>
      <x:c r="I114" s="4"/>
      <x:c r="J114" s="4"/>
      <x:c r="K114" s="4"/>
      <x:c r="L114" s="2"/>
      <x:c r="M114" s="2"/>
      <x:c r="N114" s="2"/>
      <x:c r="O114" s="2"/>
    </x:row>
    <x:row r="115" ht="26" customHeight="1">
      <x:c r="A115" s="2"/>
      <x:c r="B115" s="2"/>
      <x:c r="C115" s="26" t="str">
        <x:v>Working-capital build</x:v>
      </x:c>
      <x:c r="D115" s="26" t="str">
        <x:v>Working-capital build</x:v>
      </x:c>
      <x:c r="E115" s="27" t="str">
        <x:v>Working-capital build</x:v>
      </x:c>
      <x:c r="F115" s="27" t="str">
        <x:v>Working-capital build</x:v>
      </x:c>
      <x:c r="G115" s="27" t="str">
        <x:v>Working-capital build</x:v>
      </x:c>
      <x:c r="H115" s="27" t="str">
        <x:v>Working-capital build</x:v>
      </x:c>
      <x:c r="I115" s="27" t="str">
        <x:v>Working-capital build</x:v>
      </x:c>
      <x:c r="J115" s="27" t="str">
        <x:v>Working-capital build</x:v>
      </x:c>
      <x:c r="K115" s="27" t="str">
        <x:v>Working-capital build</x:v>
      </x:c>
      <x:c r="L115" s="2"/>
      <x:c r="M115" s="2"/>
      <x:c r="N115" s="2"/>
      <x:c r="O115" s="2"/>
    </x:row>
    <x:row r="116" ht="24" customHeight="1">
      <x:c r="A116" s="2"/>
      <x:c r="B116" s="2"/>
      <x:c r="C116" s="2" t="str">
        <x:v>Receivable days</x:v>
      </x:c>
      <x:c r="D116" s="2" t="str">
        <x:v>days</x:v>
      </x:c>
      <x:c r="E116" s="4" t="n">
        <x:f>E121/E97*365</x:f>
        <x:v>53.62297906175457</x:v>
      </x:c>
      <x:c r="F116" s="4" t="n">
        <x:f>F121/F97*365</x:f>
        <x:v>55.42765685019206</x:v>
      </x:c>
      <x:c r="G116" s="39" t="n">
        <x:f>IF(ISNUMBER('Assumptions'!G35),'Assumptions'!G35,NA())</x:f>
        <x:v>55.5</x:v>
      </x:c>
      <x:c r="H116" s="39" t="n">
        <x:f>IF(ISNUMBER('Assumptions'!H35),'Assumptions'!H35,NA())</x:f>
        <x:v>55.5</x:v>
      </x:c>
      <x:c r="I116" s="39" t="n">
        <x:f>IF(ISNUMBER('Assumptions'!I35),'Assumptions'!I35,NA())</x:f>
        <x:v>55</x:v>
      </x:c>
      <x:c r="J116" s="39" t="n">
        <x:f>IF(ISNUMBER('Assumptions'!J35),'Assumptions'!J35,NA())</x:f>
        <x:v>55</x:v>
      </x:c>
      <x:c r="K116" s="39" t="n">
        <x:f>IF(ISNUMBER('Assumptions'!K35),'Assumptions'!K35,NA())</x:f>
        <x:v>55</x:v>
      </x:c>
      <x:c r="L116" s="2"/>
      <x:c r="M116" s="40" t="str">
        <x:v>Days use closing balances and annual sales / COGS. The model forecasts all three working-capital balances explicitly.</x:v>
      </x:c>
      <x:c r="N116" s="40" t="str">
        <x:v>Days use closing balances and annual sales / COGS. The model forecasts all three working-capital balances explicitly.</x:v>
      </x:c>
      <x:c r="O116" s="40" t="str">
        <x:v>Days use closing balances and annual sales / COGS. The model forecasts all three working-capital balances explicitly.</x:v>
      </x:c>
    </x:row>
    <x:row r="117" ht="24" customHeight="1">
      <x:c r="A117" s="2"/>
      <x:c r="B117" s="2"/>
      <x:c r="C117" s="2" t="str">
        <x:v>Inventory days</x:v>
      </x:c>
      <x:c r="D117" s="2" t="str">
        <x:v>days</x:v>
      </x:c>
      <x:c r="E117" s="4" t="n">
        <x:f>E122/E99*365</x:f>
        <x:v>144.88670640187252</x:v>
      </x:c>
      <x:c r="F117" s="4" t="n">
        <x:f>F122/F99*365</x:f>
        <x:v>141.489809948329</x:v>
      </x:c>
      <x:c r="G117" s="39" t="n">
        <x:f>IF(ISNUMBER('Assumptions'!G41),'Assumptions'!G41,NA())</x:f>
        <x:v>140</x:v>
      </x:c>
      <x:c r="H117" s="39" t="n">
        <x:f>IF(ISNUMBER('Assumptions'!H41),'Assumptions'!H41,NA())</x:f>
        <x:v>138</x:v>
      </x:c>
      <x:c r="I117" s="39" t="n">
        <x:f>IF(ISNUMBER('Assumptions'!I41),'Assumptions'!I41,NA())</x:f>
        <x:v>136</x:v>
      </x:c>
      <x:c r="J117" s="39" t="n">
        <x:f>IF(ISNUMBER('Assumptions'!J41),'Assumptions'!J41,NA())</x:f>
        <x:v>134</x:v>
      </x:c>
      <x:c r="K117" s="39" t="n">
        <x:f>IF(ISNUMBER('Assumptions'!K41),'Assumptions'!K41,NA())</x:f>
        <x:v>132</x:v>
      </x:c>
      <x:c r="L117" s="2"/>
      <x:c r="M117" s="40" t="str">
        <x:v>Days use closing balances and annual sales / COGS. The model forecasts all three working-capital balances explicitly.</x:v>
      </x:c>
      <x:c r="N117" s="40" t="str">
        <x:v>Days use closing balances and annual sales / COGS. The model forecasts all three working-capital balances explicitly.</x:v>
      </x:c>
      <x:c r="O117" s="40" t="str">
        <x:v>Days use closing balances and annual sales / COGS. The model forecasts all three working-capital balances explicitly.</x:v>
      </x:c>
    </x:row>
    <x:row r="118" ht="24" customHeight="1">
      <x:c r="A118" s="2"/>
      <x:c r="B118" s="2"/>
      <x:c r="C118" s="2" t="str">
        <x:v>Payable days</x:v>
      </x:c>
      <x:c r="D118" s="2" t="str">
        <x:v>days</x:v>
      </x:c>
      <x:c r="E118" s="4" t="n">
        <x:f>E123/E99*365</x:f>
        <x:v>25.339760140923236</x:v>
      </x:c>
      <x:c r="F118" s="4" t="n">
        <x:f>F123/F99*365</x:f>
        <x:v>25.64300445745459</x:v>
      </x:c>
      <x:c r="G118" s="39" t="n">
        <x:f>IF(ISNUMBER('Assumptions'!G47),'Assumptions'!G47,NA())</x:f>
        <x:v>28</x:v>
      </x:c>
      <x:c r="H118" s="39" t="n">
        <x:f>IF(ISNUMBER('Assumptions'!H47),'Assumptions'!H47,NA())</x:f>
        <x:v>28</x:v>
      </x:c>
      <x:c r="I118" s="39" t="n">
        <x:f>IF(ISNUMBER('Assumptions'!I47),'Assumptions'!I47,NA())</x:f>
        <x:v>29</x:v>
      </x:c>
      <x:c r="J118" s="39" t="n">
        <x:f>IF(ISNUMBER('Assumptions'!J47),'Assumptions'!J47,NA())</x:f>
        <x:v>29</x:v>
      </x:c>
      <x:c r="K118" s="39" t="n">
        <x:f>IF(ISNUMBER('Assumptions'!K47),'Assumptions'!K47,NA())</x:f>
        <x:v>30</x:v>
      </x:c>
      <x:c r="L118" s="2"/>
      <x:c r="M118" s="40" t="str">
        <x:v>Days use closing balances and annual sales / COGS. The model forecasts all three working-capital balances explicitly.</x:v>
      </x:c>
      <x:c r="N118" s="40" t="str">
        <x:v>Days use closing balances and annual sales / COGS. The model forecasts all three working-capital balances explicitly.</x:v>
      </x:c>
      <x:c r="O118" s="40" t="str">
        <x:v>Days use closing balances and annual sales / COGS. The model forecasts all three working-capital balances explicitly.</x:v>
      </x:c>
    </x:row>
    <x:row r="119" ht="24" customHeight="1">
      <x:c r="A119" s="2"/>
      <x:c r="B119" s="2"/>
      <x:c r="C119" s="2" t="str">
        <x:v>Other operating NWC / revenue</x:v>
      </x:c>
      <x:c r="D119" s="2" t="str">
        <x:v>%</x:v>
      </x:c>
      <x:c r="E119" s="44" t="n">
        <x:f>E125/E97</x:f>
        <x:v>-0.005552610654651471</x:v>
      </x:c>
      <x:c r="F119" s="44" t="n">
        <x:f>F125/F97</x:f>
        <x:v>-0.010096945308212911</x:v>
      </x:c>
      <x:c r="G119" s="45" t="n">
        <x:f>IF(ISNUMBER('Assumptions'!G53),'Assumptions'!G53,NA())</x:f>
        <x:v>-0.01</x:v>
      </x:c>
      <x:c r="H119" s="45" t="n">
        <x:f>IF(ISNUMBER('Assumptions'!H53),'Assumptions'!H53,NA())</x:f>
        <x:v>-0.01</x:v>
      </x:c>
      <x:c r="I119" s="45" t="n">
        <x:f>IF(ISNUMBER('Assumptions'!I53),'Assumptions'!I53,NA())</x:f>
        <x:v>-0.01</x:v>
      </x:c>
      <x:c r="J119" s="45" t="n">
        <x:f>IF(ISNUMBER('Assumptions'!J53),'Assumptions'!J53,NA())</x:f>
        <x:v>-0.01</x:v>
      </x:c>
      <x:c r="K119" s="45" t="n">
        <x:f>IF(ISNUMBER('Assumptions'!K53),'Assumptions'!K53,NA())</x:f>
        <x:v>-0.01</x:v>
      </x:c>
      <x:c r="L119" s="2"/>
      <x:c r="M119" s="40" t="str">
        <x:v>Days use closing balances and annual sales / COGS. The model forecasts all three working-capital balances explicitly.</x:v>
      </x:c>
      <x:c r="N119" s="40" t="str">
        <x:v>Days use closing balances and annual sales / COGS. The model forecasts all three working-capital balances explicitly.</x:v>
      </x:c>
      <x:c r="O119" s="40" t="str">
        <x:v>Days use closing balances and annual sales / COGS. The model forecasts all three working-capital balances explicitly.</x:v>
      </x:c>
    </x:row>
    <x:row r="120" ht="22" customHeight="1">
      <x:c r="A120" s="2"/>
      <x:c r="B120" s="2"/>
      <x:c r="C120" s="2"/>
      <x:c r="D120" s="2"/>
      <x:c r="E120" s="4"/>
      <x:c r="F120" s="4"/>
      <x:c r="G120" s="4"/>
      <x:c r="H120" s="4"/>
      <x:c r="I120" s="4"/>
      <x:c r="J120" s="4"/>
      <x:c r="K120" s="4"/>
      <x:c r="L120" s="2"/>
      <x:c r="M120" s="2"/>
      <x:c r="N120" s="2"/>
      <x:c r="O120" s="2"/>
    </x:row>
    <x:row r="121" ht="22" customHeight="1">
      <x:c r="A121" s="2"/>
      <x:c r="B121" s="2"/>
      <x:c r="C121" s="2" t="str">
        <x:v>Trade receivables</x:v>
      </x:c>
      <x:c r="D121" s="2" t="str">
        <x:v>$m</x:v>
      </x:c>
      <x:c r="E121" s="39" t="n">
        <x:f>'Sources'!E22</x:f>
        <x:v>1108.6</x:v>
      </x:c>
      <x:c r="F121" s="39" t="n">
        <x:f>'Sources'!F22</x:f>
        <x:v>1245.3</x:v>
      </x:c>
      <x:c r="G121" s="4" t="n">
        <x:f>G97*G116/365</x:f>
        <x:v>1421.494890410959</x:v>
      </x:c>
      <x:c r="H121" s="4" t="n">
        <x:f>H97*H116/365</x:f>
        <x:v>1563.6443794520553</x:v>
      </x:c>
      <x:c r="I121" s="4" t="n">
        <x:f>I97*I116/365</x:f>
        <x:v>1689.0176675342473</x:v>
      </x:c>
      <x:c r="J121" s="4" t="n">
        <x:f>J97*J116/365</x:f>
        <x:v>1824.1390809369873</x:v>
      </x:c>
      <x:c r="K121" s="4" t="n">
        <x:f>K97*K116/365</x:f>
        <x:v>1970.0702074119463</x:v>
      </x:c>
      <x:c r="L121" s="2"/>
      <x:c r="M121" s="2"/>
      <x:c r="N121" s="2"/>
      <x:c r="O121" s="2"/>
    </x:row>
    <x:row r="122" ht="22" customHeight="1">
      <x:c r="A122" s="2"/>
      <x:c r="B122" s="2"/>
      <x:c r="C122" s="2" t="str">
        <x:v>Inventory</x:v>
      </x:c>
      <x:c r="D122" s="2" t="str">
        <x:v>$m</x:v>
      </x:c>
      <x:c r="E122" s="39" t="n">
        <x:f>'Sources'!E23</x:f>
        <x:v>1645</x:v>
      </x:c>
      <x:c r="F122" s="39" t="n">
        <x:f>'Sources'!F23</x:f>
        <x:v>1748</x:v>
      </x:c>
      <x:c r="G122" s="4" t="n">
        <x:f>G99*G117/365</x:f>
        <x:v>1990.0928465753427</x:v>
      </x:c>
      <x:c r="H122" s="4" t="n">
        <x:f>H99*H117/365</x:f>
        <x:v>2161.7172242630145</x:v>
      </x:c>
      <x:c r="I122" s="4" t="n">
        <x:f>I99*I117/365</x:f>
        <x:v>2322.122908150357</x:v>
      </x:c>
      <x:c r="J122" s="4" t="n">
        <x:f>J99*J117/365</x:f>
        <x:v>2471.011965202351</x:v>
      </x:c>
      <x:c r="K122" s="4" t="n">
        <x:f>K99*K117/365</x:f>
        <x:v>2628.861684770501</x:v>
      </x:c>
      <x:c r="L122" s="2"/>
      <x:c r="M122" s="2"/>
      <x:c r="N122" s="2"/>
      <x:c r="O122" s="2"/>
    </x:row>
    <x:row r="123" ht="22" customHeight="1">
      <x:c r="A123" s="2"/>
      <x:c r="B123" s="2"/>
      <x:c r="C123" s="2" t="str">
        <x:v>Accounts payable</x:v>
      </x:c>
      <x:c r="D123" s="2" t="str">
        <x:v>$m</x:v>
      </x:c>
      <x:c r="E123" s="39" t="n">
        <x:f>'Sources'!E24</x:f>
        <x:v>287.7</x:v>
      </x:c>
      <x:c r="F123" s="39" t="n">
        <x:f>'Sources'!F24</x:f>
        <x:v>316.8</x:v>
      </x:c>
      <x:c r="G123" s="4" t="n">
        <x:f>G99*G118/365</x:f>
        <x:v>398.01856931506853</x:v>
      </x:c>
      <x:c r="H123" s="4" t="n">
        <x:f>H99*H118/365</x:f>
        <x:v>438.60929187945226</x:v>
      </x:c>
      <x:c r="I123" s="4" t="n">
        <x:f>I99*I118/365</x:f>
        <x:v>495.15856129676735</x:v>
      </x:c>
      <x:c r="J123" s="4" t="n">
        <x:f>J99*J118/365</x:f>
        <x:v>534.7712462005087</x:v>
      </x:c>
      <x:c r="K123" s="4" t="n">
        <x:f>K99*K118/365</x:f>
        <x:v>597.4685647205685</x:v>
      </x:c>
      <x:c r="L123" s="2"/>
      <x:c r="M123" s="2"/>
      <x:c r="N123" s="2"/>
      <x:c r="O123" s="2"/>
    </x:row>
    <x:row r="124" ht="22" customHeight="1">
      <x:c r="A124" s="2"/>
      <x:c r="B124" s="2"/>
      <x:c r="C124" s="2" t="str">
        <x:v>Trade working capital</x:v>
      </x:c>
      <x:c r="D124" s="2" t="str">
        <x:v>$m</x:v>
      </x:c>
      <x:c r="E124" s="4" t="n">
        <x:f>SUM(E121:E122)-E123</x:f>
        <x:v>2465.9</x:v>
      </x:c>
      <x:c r="F124" s="4" t="n">
        <x:f>SUM(F121:F122)-F123</x:f>
        <x:v>2676.5</x:v>
      </x:c>
      <x:c r="G124" s="4" t="n">
        <x:f>SUM(G121:G122)-G123</x:f>
        <x:v>3013.5691676712336</x:v>
      </x:c>
      <x:c r="H124" s="4" t="n">
        <x:f>SUM(H121:H122)-H123</x:f>
        <x:v>3286.7523118356175</x:v>
      </x:c>
      <x:c r="I124" s="4" t="n">
        <x:f>SUM(I121:I122)-I123</x:f>
        <x:v>3515.982014387837</x:v>
      </x:c>
      <x:c r="J124" s="4" t="n">
        <x:f>SUM(J121:J122)-J123</x:f>
        <x:v>3760.3797999388294</x:v>
      </x:c>
      <x:c r="K124" s="4" t="n">
        <x:f>SUM(K121:K122)-K123</x:f>
        <x:v>4001.4633274618786</x:v>
      </x:c>
      <x:c r="L124" s="2"/>
      <x:c r="M124" s="2"/>
      <x:c r="N124" s="2"/>
      <x:c r="O124" s="2"/>
    </x:row>
    <x:row r="125" ht="22" customHeight="1">
      <x:c r="A125" s="2"/>
      <x:c r="B125" s="2"/>
      <x:c r="C125" s="2" t="str">
        <x:v>Other operating working capital</x:v>
      </x:c>
      <x:c r="D125" s="2" t="str">
        <x:v>$m</x:v>
      </x:c>
      <x:c r="E125" s="39" t="n">
        <x:f>'Sources'!E25-'Sources'!E26</x:f>
        <x:v>-41.900000000000006</x:v>
      </x:c>
      <x:c r="F125" s="39" t="n">
        <x:f>'Sources'!F25-'Sources'!F26</x:f>
        <x:v>-82.79999999999998</x:v>
      </x:c>
      <x:c r="G125" s="4" t="n">
        <x:f>G97*G119</x:f>
        <x:v>-93.48570000000002</x:v>
      </x:c>
      <x:c r="H125" s="4" t="n">
        <x:f>H97*H119</x:f>
        <x:v>-102.83427000000003</x:v>
      </x:c>
      <x:c r="I125" s="4" t="n">
        <x:f>I97*I119</x:f>
        <x:v>-112.08935430000005</x:v>
      </x:c>
      <x:c r="J125" s="4" t="n">
        <x:f>J97*J119</x:f>
        <x:v>-121.05650264400006</x:v>
      </x:c>
      <x:c r="K125" s="4" t="n">
        <x:f>K97*K119</x:f>
        <x:v>-130.74102285552007</x:v>
      </x:c>
      <x:c r="L125" s="2"/>
      <x:c r="M125" s="2"/>
      <x:c r="N125" s="2"/>
      <x:c r="O125" s="2"/>
    </x:row>
    <x:row r="126" ht="22" customHeight="1">
      <x:c r="A126" s="2"/>
      <x:c r="B126" s="2"/>
      <x:c r="C126" s="49" t="str">
        <x:v>Operating working capital</x:v>
      </x:c>
      <x:c r="D126" s="49" t="str">
        <x:v>$m</x:v>
      </x:c>
      <x:c r="E126" s="51" t="n">
        <x:f>SUM(E124:E125)</x:f>
        <x:v>2424</x:v>
      </x:c>
      <x:c r="F126" s="51" t="n">
        <x:f>SUM(F124:F125)</x:f>
        <x:v>2593.7</x:v>
      </x:c>
      <x:c r="G126" s="51" t="n">
        <x:f>SUM(G124:G125)</x:f>
        <x:v>2920.0834676712334</x:v>
      </x:c>
      <x:c r="H126" s="51" t="n">
        <x:f>SUM(H124:H125)</x:f>
        <x:v>3183.9180418356177</x:v>
      </x:c>
      <x:c r="I126" s="51" t="n">
        <x:f>SUM(I124:I125)</x:f>
        <x:v>3403.8926600878367</x:v>
      </x:c>
      <x:c r="J126" s="51" t="n">
        <x:f>SUM(J124:J125)</x:f>
        <x:v>3639.3232972948294</x:v>
      </x:c>
      <x:c r="K126" s="51" t="n">
        <x:f>SUM(K124:K125)</x:f>
        <x:v>3870.7223046063586</x:v>
      </x:c>
      <x:c r="L126" s="2"/>
      <x:c r="M126" s="2"/>
      <x:c r="N126" s="2"/>
      <x:c r="O126" s="2"/>
    </x:row>
    <x:row r="127" ht="22" customHeight="1">
      <x:c r="A127" s="2"/>
      <x:c r="B127" s="2"/>
      <x:c r="C127" s="2" t="str">
        <x:v>Opening operating working capital</x:v>
      </x:c>
      <x:c r="D127" s="2" t="str">
        <x:v>$m</x:v>
      </x:c>
      <x:c r="E127" s="4"/>
      <x:c r="F127" s="4" t="n">
        <x:f>E126</x:f>
        <x:v>2424</x:v>
      </x:c>
      <x:c r="G127" s="4" t="n">
        <x:f>F126</x:f>
        <x:v>2593.7</x:v>
      </x:c>
      <x:c r="H127" s="4" t="n">
        <x:f>G126</x:f>
        <x:v>2920.0834676712334</x:v>
      </x:c>
      <x:c r="I127" s="4" t="n">
        <x:f>H126</x:f>
        <x:v>3183.9180418356177</x:v>
      </x:c>
      <x:c r="J127" s="4" t="n">
        <x:f>I126</x:f>
        <x:v>3403.8926600878367</x:v>
      </x:c>
      <x:c r="K127" s="4" t="n">
        <x:f>J126</x:f>
        <x:v>3639.3232972948294</x:v>
      </x:c>
      <x:c r="L127" s="2"/>
      <x:c r="M127" s="2"/>
      <x:c r="N127" s="2"/>
      <x:c r="O127" s="2"/>
    </x:row>
    <x:row r="128" ht="22" customHeight="1">
      <x:c r="A128" s="2"/>
      <x:c r="B128" s="2"/>
      <x:c r="C128" s="2" t="str">
        <x:v>Increase / (release) in NWC</x:v>
      </x:c>
      <x:c r="D128" s="2" t="str">
        <x:v>$m</x:v>
      </x:c>
      <x:c r="E128" s="4"/>
      <x:c r="F128" s="4" t="n">
        <x:f>F126-F127</x:f>
        <x:v>169.69999999999982</x:v>
      </x:c>
      <x:c r="G128" s="4" t="n">
        <x:f>G126-G127</x:f>
        <x:v>326.3834676712336</x:v>
      </x:c>
      <x:c r="H128" s="4" t="n">
        <x:f>H126-H127</x:f>
        <x:v>263.8345741643843</x:v>
      </x:c>
      <x:c r="I128" s="4" t="n">
        <x:f>I126-I127</x:f>
        <x:v>219.974618252219</x:v>
      </x:c>
      <x:c r="J128" s="4" t="n">
        <x:f>J126-J127</x:f>
        <x:v>235.43063720699274</x:v>
      </x:c>
      <x:c r="K128" s="4" t="n">
        <x:f>K126-K127</x:f>
        <x:v>231.3990073115292</x:v>
      </x:c>
      <x:c r="L128" s="2"/>
      <x:c r="M128" s="2"/>
      <x:c r="N128" s="2"/>
      <x:c r="O128" s="2"/>
    </x:row>
    <x:row r="129" ht="22" customHeight="1">
      <x:c r="A129" s="2"/>
      <x:c r="B129" s="2"/>
      <x:c r="C129" s="2"/>
      <x:c r="D129" s="2"/>
      <x:c r="E129" s="4"/>
      <x:c r="F129" s="4"/>
      <x:c r="G129" s="4"/>
      <x:c r="H129" s="4"/>
      <x:c r="I129" s="4"/>
      <x:c r="J129" s="4"/>
      <x:c r="K129" s="4"/>
      <x:c r="L129" s="2"/>
      <x:c r="M129" s="2"/>
      <x:c r="N129" s="2"/>
      <x:c r="O129" s="2"/>
    </x:row>
    <x:row r="130" ht="22" customHeight="1">
      <x:c r="A130" s="2"/>
      <x:c r="B130" s="2"/>
      <x:c r="C130" s="2"/>
      <x:c r="D130" s="2"/>
      <x:c r="E130" s="4"/>
      <x:c r="F130" s="4"/>
      <x:c r="G130" s="4"/>
      <x:c r="H130" s="4"/>
      <x:c r="I130" s="4"/>
      <x:c r="J130" s="4"/>
      <x:c r="K130" s="4"/>
      <x:c r="L130" s="2"/>
      <x:c r="M130" s="2"/>
      <x:c r="N130" s="2"/>
      <x:c r="O130" s="2"/>
    </x:row>
    <x:row r="131" ht="26" customHeight="1">
      <x:c r="A131" s="2"/>
      <x:c r="B131" s="2"/>
      <x:c r="C131" s="26" t="str">
        <x:v>Reinvestment and non-cash expenses</x:v>
      </x:c>
      <x:c r="D131" s="26" t="str">
        <x:v>Reinvestment and non-cash expenses</x:v>
      </x:c>
      <x:c r="E131" s="27" t="str">
        <x:v>Reinvestment and non-cash expenses</x:v>
      </x:c>
      <x:c r="F131" s="27" t="str">
        <x:v>Reinvestment and non-cash expenses</x:v>
      </x:c>
      <x:c r="G131" s="27" t="str">
        <x:v>Reinvestment and non-cash expenses</x:v>
      </x:c>
      <x:c r="H131" s="27" t="str">
        <x:v>Reinvestment and non-cash expenses</x:v>
      </x:c>
      <x:c r="I131" s="27" t="str">
        <x:v>Reinvestment and non-cash expenses</x:v>
      </x:c>
      <x:c r="J131" s="27" t="str">
        <x:v>Reinvestment and non-cash expenses</x:v>
      </x:c>
      <x:c r="K131" s="27" t="str">
        <x:v>Reinvestment and non-cash expenses</x:v>
      </x:c>
      <x:c r="L131" s="2"/>
      <x:c r="M131" s="2"/>
      <x:c r="N131" s="2"/>
      <x:c r="O131" s="2"/>
    </x:row>
    <x:row r="132" ht="24" customHeight="1">
      <x:c r="A132" s="2"/>
      <x:c r="B132" s="2"/>
      <x:c r="C132" s="2" t="str">
        <x:v>D&amp;A / revenue</x:v>
      </x:c>
      <x:c r="D132" s="2" t="str">
        <x:v>%</x:v>
      </x:c>
      <x:c r="E132" s="44" t="n">
        <x:f>E134/E97</x:f>
        <x:v>0.023244102835939567</x:v>
      </x:c>
      <x:c r="F132" s="44" t="n">
        <x:f>F134/F97</x:f>
        <x:v>0.02185232607767819</x:v>
      </x:c>
      <x:c r="G132" s="45" t="n">
        <x:f>IF(ISNUMBER('Assumptions'!G59),'Assumptions'!G59,NA())</x:f>
        <x:v>0.0218</x:v>
      </x:c>
      <x:c r="H132" s="45" t="n">
        <x:f>IF(ISNUMBER('Assumptions'!H59),'Assumptions'!H59,NA())</x:f>
        <x:v>0.0215</x:v>
      </x:c>
      <x:c r="I132" s="45" t="n">
        <x:f>IF(ISNUMBER('Assumptions'!I59),'Assumptions'!I59,NA())</x:f>
        <x:v>0.0213</x:v>
      </x:c>
      <x:c r="J132" s="45" t="n">
        <x:f>IF(ISNUMBER('Assumptions'!J59),'Assumptions'!J59,NA())</x:f>
        <x:v>0.021</x:v>
      </x:c>
      <x:c r="K132" s="45" t="n">
        <x:f>IF(ISNUMBER('Assumptions'!K59),'Assumptions'!K59,NA())</x:f>
        <x:v>0.021</x:v>
      </x:c>
      <x:c r="L132" s="2"/>
      <x:c r="M132" s="40" t="str">
        <x:v>D&amp;A uses a revenue ratio. Other non-cash adjustments normalize to zero. The model does not forecast asset vintages, deferred tax or FX.</x:v>
      </x:c>
      <x:c r="N132" s="40" t="str">
        <x:v>D&amp;A uses a revenue ratio. Other non-cash adjustments normalize to zero. The model does not forecast asset vintages, deferred tax or FX.</x:v>
      </x:c>
      <x:c r="O132" s="40" t="str">
        <x:v>D&amp;A uses a revenue ratio. Other non-cash adjustments normalize to zero. The model does not forecast asset vintages, deferred tax or FX.</x:v>
      </x:c>
    </x:row>
    <x:row r="133" ht="24" customHeight="1">
      <x:c r="A133" s="2"/>
      <x:c r="B133" s="2"/>
      <x:c r="C133" s="2" t="str">
        <x:v>Stock compensation / revenue</x:v>
      </x:c>
      <x:c r="D133" s="2" t="str">
        <x:v>%</x:v>
      </x:c>
      <x:c r="E133" s="44" t="n">
        <x:f>E135/E97</x:f>
        <x:v>0.0010601643254704478</x:v>
      </x:c>
      <x:c r="F133" s="44" t="n">
        <x:f>F135/F97</x:f>
        <x:v>0.0010243277848911653</x:v>
      </x:c>
      <x:c r="G133" s="45" t="n">
        <x:f>IF(ISNUMBER('Assumptions'!G65),'Assumptions'!G65,NA())</x:f>
        <x:v>0.001</x:v>
      </x:c>
      <x:c r="H133" s="45" t="n">
        <x:f>IF(ISNUMBER('Assumptions'!H65),'Assumptions'!H65,NA())</x:f>
        <x:v>0.001</x:v>
      </x:c>
      <x:c r="I133" s="45" t="n">
        <x:f>IF(ISNUMBER('Assumptions'!I65),'Assumptions'!I65,NA())</x:f>
        <x:v>0.001</x:v>
      </x:c>
      <x:c r="J133" s="45" t="n">
        <x:f>IF(ISNUMBER('Assumptions'!J65),'Assumptions'!J65,NA())</x:f>
        <x:v>0.001</x:v>
      </x:c>
      <x:c r="K133" s="45" t="n">
        <x:f>IF(ISNUMBER('Assumptions'!K65),'Assumptions'!K65,NA())</x:f>
        <x:v>0.001</x:v>
      </x:c>
      <x:c r="L133" s="2"/>
      <x:c r="M133" s="40" t="str">
        <x:v>D&amp;A uses a revenue ratio. Other non-cash adjustments normalize to zero. The model does not forecast asset vintages, deferred tax or FX.</x:v>
      </x:c>
      <x:c r="N133" s="40" t="str">
        <x:v>D&amp;A uses a revenue ratio. Other non-cash adjustments normalize to zero. The model does not forecast asset vintages, deferred tax or FX.</x:v>
      </x:c>
      <x:c r="O133" s="40" t="str">
        <x:v>D&amp;A uses a revenue ratio. Other non-cash adjustments normalize to zero. The model does not forecast asset vintages, deferred tax or FX.</x:v>
      </x:c>
    </x:row>
    <x:row r="134" ht="24" customHeight="1">
      <x:c r="A134" s="2"/>
      <x:c r="B134" s="2"/>
      <x:c r="C134" s="2" t="str">
        <x:v>Depreciation and amortization</x:v>
      </x:c>
      <x:c r="D134" s="2" t="str">
        <x:v>$m</x:v>
      </x:c>
      <x:c r="E134" s="39" t="n">
        <x:f>SUM('Sources'!E29:E30)</x:f>
        <x:v>175.39999999999998</x:v>
      </x:c>
      <x:c r="F134" s="39" t="n">
        <x:f>SUM('Sources'!F29:F30)</x:f>
        <x:v>179.2</x:v>
      </x:c>
      <x:c r="G134" s="4" t="n">
        <x:f>G97*G132</x:f>
        <x:v>203.79882600000002</x:v>
      </x:c>
      <x:c r="H134" s="4" t="n">
        <x:f>H97*H132</x:f>
        <x:v>221.09368050000006</x:v>
      </x:c>
      <x:c r="I134" s="4" t="n">
        <x:f>I97*I132</x:f>
        <x:v>238.7503246590001</x:v>
      </x:c>
      <x:c r="J134" s="4" t="n">
        <x:f>J97*J132</x:f>
        <x:v>254.21865555240015</x:v>
      </x:c>
      <x:c r="K134" s="4" t="n">
        <x:f>K97*K132</x:f>
        <x:v>274.5561479965922</x:v>
      </x:c>
      <x:c r="L134" s="2"/>
      <x:c r="M134" s="40" t="str">
        <x:v>D&amp;A uses a revenue ratio. Other non-cash adjustments normalize to zero. The model does not forecast asset vintages, deferred tax or FX.</x:v>
      </x:c>
      <x:c r="N134" s="40" t="str">
        <x:v>D&amp;A uses a revenue ratio. Other non-cash adjustments normalize to zero. The model does not forecast asset vintages, deferred tax or FX.</x:v>
      </x:c>
      <x:c r="O134" s="40" t="str">
        <x:v>D&amp;A uses a revenue ratio. Other non-cash adjustments normalize to zero. The model does not forecast asset vintages, deferred tax or FX.</x:v>
      </x:c>
    </x:row>
    <x:row r="135" ht="24" customHeight="1">
      <x:c r="A135" s="2"/>
      <x:c r="B135" s="2"/>
      <x:c r="C135" s="2" t="str">
        <x:v>Stock-based compensation</x:v>
      </x:c>
      <x:c r="D135" s="2" t="str">
        <x:v>$m</x:v>
      </x:c>
      <x:c r="E135" s="39" t="n">
        <x:f>'Sources'!E31</x:f>
        <x:v>8</x:v>
      </x:c>
      <x:c r="F135" s="39" t="n">
        <x:f>'Sources'!F31</x:f>
        <x:v>8.4</x:v>
      </x:c>
      <x:c r="G135" s="4" t="n">
        <x:f>G97*G133</x:f>
        <x:v>9.348570000000002</x:v>
      </x:c>
      <x:c r="H135" s="4" t="n">
        <x:f>H97*H133</x:f>
        <x:v>10.283427000000003</x:v>
      </x:c>
      <x:c r="I135" s="4" t="n">
        <x:f>I97*I133</x:f>
        <x:v>11.208935430000006</x:v>
      </x:c>
      <x:c r="J135" s="4" t="n">
        <x:f>J97*J133</x:f>
        <x:v>12.105650264400007</x:v>
      </x:c>
      <x:c r="K135" s="4" t="n">
        <x:f>K97*K133</x:f>
        <x:v>13.074102285552009</x:v>
      </x:c>
      <x:c r="L135" s="2"/>
      <x:c r="M135" s="40" t="str">
        <x:v>D&amp;A uses a revenue ratio. Other non-cash adjustments normalize to zero. The model does not forecast asset vintages, deferred tax or FX.</x:v>
      </x:c>
      <x:c r="N135" s="40" t="str">
        <x:v>D&amp;A uses a revenue ratio. Other non-cash adjustments normalize to zero. The model does not forecast asset vintages, deferred tax or FX.</x:v>
      </x:c>
      <x:c r="O135" s="40" t="str">
        <x:v>D&amp;A uses a revenue ratio. Other non-cash adjustments normalize to zero. The model does not forecast asset vintages, deferred tax or FX.</x:v>
      </x:c>
    </x:row>
    <x:row r="136" ht="24" customHeight="1">
      <x:c r="A136" s="2"/>
      <x:c r="B136" s="2"/>
      <x:c r="C136" s="2" t="str">
        <x:v>Other non-cash adjustments</x:v>
      </x:c>
      <x:c r="D136" s="2" t="str">
        <x:v>$m</x:v>
      </x:c>
      <x:c r="E136" s="39" t="n">
        <x:f>SUM('Sources'!E32:E34)</x:f>
        <x:v>-6.6</x:v>
      </x:c>
      <x:c r="F136" s="39" t="n">
        <x:f>SUM('Sources'!F32:F34)</x:f>
        <x:v>-0.10000000000000053</x:v>
      </x:c>
      <x:c r="G136" s="4" t="n">
        <x:f>0</x:f>
        <x:v>0</x:v>
      </x:c>
      <x:c r="H136" s="4" t="n">
        <x:f>0</x:f>
        <x:v>0</x:v>
      </x:c>
      <x:c r="I136" s="4" t="n">
        <x:f>0</x:f>
        <x:v>0</x:v>
      </x:c>
      <x:c r="J136" s="4" t="n">
        <x:f>0</x:f>
        <x:v>0</x:v>
      </x:c>
      <x:c r="K136" s="4" t="n">
        <x:f>0</x:f>
        <x:v>0</x:v>
      </x:c>
      <x:c r="L136" s="2"/>
      <x:c r="M136" s="40" t="str">
        <x:v>D&amp;A uses a revenue ratio. Other non-cash adjustments normalize to zero. The model does not forecast asset vintages, deferred tax or FX.</x:v>
      </x:c>
      <x:c r="N136" s="40" t="str">
        <x:v>D&amp;A uses a revenue ratio. Other non-cash adjustments normalize to zero. The model does not forecast asset vintages, deferred tax or FX.</x:v>
      </x:c>
      <x:c r="O136" s="40" t="str">
        <x:v>D&amp;A uses a revenue ratio. Other non-cash adjustments normalize to zero. The model does not forecast asset vintages, deferred tax or FX.</x:v>
      </x:c>
    </x:row>
    <x:row r="137" ht="22" customHeight="1">
      <x:c r="A137" s="2"/>
      <x:c r="B137" s="2"/>
      <x:c r="C137" s="2" t="str">
        <x:v>Gross capex / revenue</x:v>
      </x:c>
      <x:c r="D137" s="2" t="str">
        <x:v>%</x:v>
      </x:c>
      <x:c r="E137" s="44" t="n">
        <x:f>E139/E97</x:f>
        <x:v>0.030015902464882057</x:v>
      </x:c>
      <x:c r="F137" s="44" t="n">
        <x:f>F139/F97</x:f>
        <x:v>0.029912810194500337</x:v>
      </x:c>
      <x:c r="G137" s="45" t="n">
        <x:f>IF(ISNUMBER('Assumptions'!G71),'Assumptions'!G71,NA())</x:f>
        <x:v>0.035834357554149994</x:v>
      </x:c>
      <x:c r="H137" s="45" t="n">
        <x:f>IF(ISNUMBER('Assumptions'!H71),'Assumptions'!H71,NA())</x:f>
        <x:v>0.032</x:v>
      </x:c>
      <x:c r="I137" s="45" t="n">
        <x:f>IF(ISNUMBER('Assumptions'!I71),'Assumptions'!I71,NA())</x:f>
        <x:v>0.031</x:v>
      </x:c>
      <x:c r="J137" s="45" t="n">
        <x:f>IF(ISNUMBER('Assumptions'!J71),'Assumptions'!J71,NA())</x:f>
        <x:v>0.03</x:v>
      </x:c>
      <x:c r="K137" s="45" t="n">
        <x:f>IF(ISNUMBER('Assumptions'!K71),'Assumptions'!K71,NA())</x:f>
        <x:v>0.03</x:v>
      </x:c>
      <x:c r="L137" s="2"/>
      <x:c r="M137" s="2"/>
      <x:c r="N137" s="2"/>
      <x:c r="O137" s="2"/>
    </x:row>
    <x:row r="138" ht="22" customHeight="1">
      <x:c r="A138" s="2"/>
      <x:c r="B138" s="2"/>
      <x:c r="C138" s="2" t="str">
        <x:v>Disposal proceeds / revenue</x:v>
      </x:c>
      <x:c r="D138" s="2" t="str">
        <x:v>%</x:v>
      </x:c>
      <x:c r="E138" s="44" t="n">
        <x:f>E140/E97</x:f>
        <x:v>0.0016432547044791944</x:v>
      </x:c>
      <x:c r="F138" s="44" t="n">
        <x:f>F140/F97</x:f>
        <x:v>0.0018047680019511007</x:v>
      </x:c>
      <x:c r="G138" s="45" t="n">
        <x:f>IF(ISNUMBER('Assumptions'!G77),'Assumptions'!G77,NA())</x:f>
        <x:v>0.0016045234725738803</x:v>
      </x:c>
      <x:c r="H138" s="45" t="n">
        <x:f>IF(ISNUMBER('Assumptions'!H77),'Assumptions'!H77,NA())</x:f>
        <x:v>0.0018</x:v>
      </x:c>
      <x:c r="I138" s="45" t="n">
        <x:f>IF(ISNUMBER('Assumptions'!I77),'Assumptions'!I77,NA())</x:f>
        <x:v>0.0018</x:v>
      </x:c>
      <x:c r="J138" s="45" t="n">
        <x:f>IF(ISNUMBER('Assumptions'!J77),'Assumptions'!J77,NA())</x:f>
        <x:v>0.0018</x:v>
      </x:c>
      <x:c r="K138" s="45" t="n">
        <x:f>IF(ISNUMBER('Assumptions'!K77),'Assumptions'!K77,NA())</x:f>
        <x:v>0.0018</x:v>
      </x:c>
      <x:c r="L138" s="2"/>
      <x:c r="M138" s="2"/>
      <x:c r="N138" s="2"/>
      <x:c r="O138" s="2"/>
    </x:row>
    <x:row r="139" ht="22" customHeight="1">
      <x:c r="A139" s="2"/>
      <x:c r="B139" s="2"/>
      <x:c r="C139" s="2" t="str">
        <x:v>Gross capex</x:v>
      </x:c>
      <x:c r="D139" s="2" t="str">
        <x:v>$m</x:v>
      </x:c>
      <x:c r="E139" s="39" t="n">
        <x:f>'Sources'!E45</x:f>
        <x:v>226.5</x:v>
      </x:c>
      <x:c r="F139" s="39" t="n">
        <x:f>'Sources'!F45</x:f>
        <x:v>245.3</x:v>
      </x:c>
      <x:c r="G139" s="4" t="n">
        <x:f>G97*G137</x:f>
        <x:v>335.00000000000006</x:v>
      </x:c>
      <x:c r="H139" s="4" t="n">
        <x:f>H97*H137</x:f>
        <x:v>329.0696640000001</x:v>
      </x:c>
      <x:c r="I139" s="4" t="n">
        <x:f>I97*I137</x:f>
        <x:v>347.47699833000013</x:v>
      </x:c>
      <x:c r="J139" s="4" t="n">
        <x:f>J97*J137</x:f>
        <x:v>363.16950793200016</x:v>
      </x:c>
      <x:c r="K139" s="4" t="n">
        <x:f>K97*K137</x:f>
        <x:v>392.22306856656024</x:v>
      </x:c>
      <x:c r="L139" s="2"/>
      <x:c r="M139" s="2"/>
      <x:c r="N139" s="2"/>
      <x:c r="O139" s="2"/>
    </x:row>
    <x:row r="140" ht="22" customHeight="1">
      <x:c r="A140" s="2"/>
      <x:c r="B140" s="2"/>
      <x:c r="C140" s="2" t="str">
        <x:v>Disposal proceeds</x:v>
      </x:c>
      <x:c r="D140" s="2" t="str">
        <x:v>$m</x:v>
      </x:c>
      <x:c r="E140" s="39" t="n">
        <x:f>'Sources'!E46</x:f>
        <x:v>12.4</x:v>
      </x:c>
      <x:c r="F140" s="39" t="n">
        <x:f>'Sources'!F46</x:f>
        <x:v>14.8</x:v>
      </x:c>
      <x:c r="G140" s="4" t="n">
        <x:f>G97*G138</x:f>
        <x:v>15.000000000000002</x:v>
      </x:c>
      <x:c r="H140" s="4" t="n">
        <x:f>H97*H138</x:f>
        <x:v>18.510168600000007</x:v>
      </x:c>
      <x:c r="I140" s="4" t="n">
        <x:f>I97*I138</x:f>
        <x:v>20.17608377400001</x:v>
      </x:c>
      <x:c r="J140" s="4" t="n">
        <x:f>J97*J138</x:f>
        <x:v>21.79017047592001</x:v>
      </x:c>
      <x:c r="K140" s="4" t="n">
        <x:f>K97*K138</x:f>
        <x:v>23.533384113993613</x:v>
      </x:c>
      <x:c r="L140" s="2"/>
      <x:c r="M140" s="2"/>
      <x:c r="N140" s="2"/>
      <x:c r="O140" s="2"/>
    </x:row>
    <x:row r="141" ht="22" customHeight="1">
      <x:c r="A141" s="2"/>
      <x:c r="B141" s="2"/>
      <x:c r="C141" s="49" t="str">
        <x:v>Net capex</x:v>
      </x:c>
      <x:c r="D141" s="49" t="str">
        <x:v>$m</x:v>
      </x:c>
      <x:c r="E141" s="51" t="n">
        <x:f>E139-E140</x:f>
        <x:v>214.1</x:v>
      </x:c>
      <x:c r="F141" s="51" t="n">
        <x:f>F139-F140</x:f>
        <x:v>230.5</x:v>
      </x:c>
      <x:c r="G141" s="51" t="n">
        <x:f>G139-G140</x:f>
        <x:v>320.00000000000006</x:v>
      </x:c>
      <x:c r="H141" s="51" t="n">
        <x:f>H139-H140</x:f>
        <x:v>310.5594954000001</x:v>
      </x:c>
      <x:c r="I141" s="51" t="n">
        <x:f>I139-I140</x:f>
        <x:v>327.3009145560001</x:v>
      </x:c>
      <x:c r="J141" s="51" t="n">
        <x:f>J139-J140</x:f>
        <x:v>341.3793374560801</x:v>
      </x:c>
      <x:c r="K141" s="51" t="n">
        <x:f>K139-K140</x:f>
        <x:v>368.6896844525666</x:v>
      </x:c>
      <x:c r="L141" s="2"/>
      <x:c r="M141" s="2"/>
      <x:c r="N141" s="2"/>
      <x:c r="O141" s="2"/>
    </x:row>
    <x:row r="142" ht="22" customHeight="1">
      <x:c r="A142" s="2"/>
      <x:c r="B142" s="2"/>
      <x:c r="C142" s="2"/>
      <x:c r="D142" s="2"/>
      <x:c r="E142" s="4"/>
      <x:c r="F142" s="4"/>
      <x:c r="G142" s="4"/>
      <x:c r="H142" s="4"/>
      <x:c r="I142" s="4"/>
      <x:c r="J142" s="4"/>
      <x:c r="K142" s="4"/>
      <x:c r="L142" s="2"/>
      <x:c r="M142" s="2"/>
      <x:c r="N142" s="2"/>
      <x:c r="O142" s="2"/>
    </x:row>
    <x:row r="143" ht="26" customHeight="1">
      <x:c r="A143" s="2"/>
      <x:c r="B143" s="2"/>
      <x:c r="C143" s="26" t="str">
        <x:v>Earnings to free cash flow</x:v>
      </x:c>
      <x:c r="D143" s="26" t="str">
        <x:v>Earnings to free cash flow</x:v>
      </x:c>
      <x:c r="E143" s="27" t="str">
        <x:v>Earnings to free cash flow</x:v>
      </x:c>
      <x:c r="F143" s="27" t="str">
        <x:v>Earnings to free cash flow</x:v>
      </x:c>
      <x:c r="G143" s="27" t="str">
        <x:v>Earnings to free cash flow</x:v>
      </x:c>
      <x:c r="H143" s="27" t="str">
        <x:v>Earnings to free cash flow</x:v>
      </x:c>
      <x:c r="I143" s="27" t="str">
        <x:v>Earnings to free cash flow</x:v>
      </x:c>
      <x:c r="J143" s="27" t="str">
        <x:v>Earnings to free cash flow</x:v>
      </x:c>
      <x:c r="K143" s="27" t="str">
        <x:v>Earnings to free cash flow</x:v>
      </x:c>
      <x:c r="L143" s="2"/>
      <x:c r="M143" s="2"/>
      <x:c r="N143" s="2"/>
      <x:c r="O143" s="2"/>
    </x:row>
    <x:row r="144" ht="24" customHeight="1">
      <x:c r="A144" s="2"/>
      <x:c r="B144" s="2"/>
      <x:c r="C144" s="2" t="str">
        <x:v>Net income</x:v>
      </x:c>
      <x:c r="D144" s="2" t="str">
        <x:v>$m</x:v>
      </x:c>
      <x:c r="E144" s="39" t="n">
        <x:f>'Sources'!E17</x:f>
        <x:v>1150.6</x:v>
      </x:c>
      <x:c r="F144" s="39" t="n">
        <x:f>'Sources'!F17</x:f>
        <x:v>1258.4</x:v>
      </x:c>
      <x:c r="G144" s="4" t="n">
        <x:f>G109</x:f>
        <x:v>1452.0572866800007</x:v>
      </x:c>
      <x:c r="H144" s="4" t="n">
        <x:f>H109</x:f>
        <x:v>1612.7704232640003</x:v>
      </x:c>
      <x:c r="I144" s="4" t="n">
        <x:f>I109</x:f>
        <x:v>1774.822835986201</x:v>
      </x:c>
      <x:c r="J144" s="4" t="n">
        <x:f>J109</x:f>
        <x:v>1935.0639834638125</x:v>
      </x:c>
      <x:c r="K144" s="4" t="n">
        <x:f>K109</x:f>
        <x:v>2099.7269752642233</x:v>
      </x:c>
      <x:c r="L144" s="2"/>
      <x:c r="M144" s="40" t="str">
        <x:v>Historical CFO is reported. Forecast CFO bridges from net income through non-cash expenses and changes in operating working capital. Tax timing is neutral.</x:v>
      </x:c>
      <x:c r="N144" s="40" t="str">
        <x:v>Historical CFO is reported. Forecast CFO bridges from net income through non-cash expenses and changes in operating working capital. Tax timing is neutral.</x:v>
      </x:c>
      <x:c r="O144" s="40" t="str">
        <x:v>Historical CFO is reported. Forecast CFO bridges from net income through non-cash expenses and changes in operating working capital. Tax timing is neutral.</x:v>
      </x:c>
    </x:row>
    <x:row r="145" ht="24" customHeight="1">
      <x:c r="A145" s="2"/>
      <x:c r="B145" s="2"/>
      <x:c r="C145" s="2" t="str">
        <x:v>Depreciation and amortization</x:v>
      </x:c>
      <x:c r="D145" s="2" t="str">
        <x:v>$m</x:v>
      </x:c>
      <x:c r="E145" s="4" t="n">
        <x:f>E134</x:f>
        <x:v>175.39999999999998</x:v>
      </x:c>
      <x:c r="F145" s="4" t="n">
        <x:f>F134</x:f>
        <x:v>179.2</x:v>
      </x:c>
      <x:c r="G145" s="4" t="n">
        <x:f>G134</x:f>
        <x:v>203.79882600000002</x:v>
      </x:c>
      <x:c r="H145" s="4" t="n">
        <x:f>H134</x:f>
        <x:v>221.09368050000006</x:v>
      </x:c>
      <x:c r="I145" s="4" t="n">
        <x:f>I134</x:f>
        <x:v>238.7503246590001</x:v>
      </x:c>
      <x:c r="J145" s="4" t="n">
        <x:f>J134</x:f>
        <x:v>254.21865555240015</x:v>
      </x:c>
      <x:c r="K145" s="4" t="n">
        <x:f>K134</x:f>
        <x:v>274.5561479965922</x:v>
      </x:c>
      <x:c r="L145" s="2"/>
      <x:c r="M145" s="40" t="str">
        <x:v>Historical CFO is reported. Forecast CFO bridges from net income through non-cash expenses and changes in operating working capital. Tax timing is neutral.</x:v>
      </x:c>
      <x:c r="N145" s="40" t="str">
        <x:v>Historical CFO is reported. Forecast CFO bridges from net income through non-cash expenses and changes in operating working capital. Tax timing is neutral.</x:v>
      </x:c>
      <x:c r="O145" s="40" t="str">
        <x:v>Historical CFO is reported. Forecast CFO bridges from net income through non-cash expenses and changes in operating working capital. Tax timing is neutral.</x:v>
      </x:c>
    </x:row>
    <x:row r="146" ht="24" customHeight="1">
      <x:c r="A146" s="2"/>
      <x:c r="B146" s="2"/>
      <x:c r="C146" s="2" t="str">
        <x:v>Stock-based compensation</x:v>
      </x:c>
      <x:c r="D146" s="2" t="str">
        <x:v>$m</x:v>
      </x:c>
      <x:c r="E146" s="39" t="n">
        <x:f>'Sources'!E31</x:f>
        <x:v>8</x:v>
      </x:c>
      <x:c r="F146" s="39" t="n">
        <x:f>'Sources'!F31</x:f>
        <x:v>8.4</x:v>
      </x:c>
      <x:c r="G146" s="4" t="n">
        <x:f>G135</x:f>
        <x:v>9.348570000000002</x:v>
      </x:c>
      <x:c r="H146" s="4" t="n">
        <x:f>H135</x:f>
        <x:v>10.283427000000003</x:v>
      </x:c>
      <x:c r="I146" s="4" t="n">
        <x:f>I135</x:f>
        <x:v>11.208935430000006</x:v>
      </x:c>
      <x:c r="J146" s="4" t="n">
        <x:f>J135</x:f>
        <x:v>12.105650264400007</x:v>
      </x:c>
      <x:c r="K146" s="4" t="n">
        <x:f>K135</x:f>
        <x:v>13.074102285552009</x:v>
      </x:c>
      <x:c r="L146" s="2"/>
      <x:c r="M146" s="40" t="str">
        <x:v>Historical CFO is reported. Forecast CFO bridges from net income through non-cash expenses and changes in operating working capital. Tax timing is neutral.</x:v>
      </x:c>
      <x:c r="N146" s="40" t="str">
        <x:v>Historical CFO is reported. Forecast CFO bridges from net income through non-cash expenses and changes in operating working capital. Tax timing is neutral.</x:v>
      </x:c>
      <x:c r="O146" s="40" t="str">
        <x:v>Historical CFO is reported. Forecast CFO bridges from net income through non-cash expenses and changes in operating working capital. Tax timing is neutral.</x:v>
      </x:c>
    </x:row>
    <x:row r="147" ht="24" customHeight="1">
      <x:c r="A147" s="2"/>
      <x:c r="B147" s="2"/>
      <x:c r="C147" s="2" t="str">
        <x:v>Other non-cash adjustments</x:v>
      </x:c>
      <x:c r="D147" s="2" t="str">
        <x:v>$m</x:v>
      </x:c>
      <x:c r="E147" s="4" t="n">
        <x:f>E136</x:f>
        <x:v>-6.6</x:v>
      </x:c>
      <x:c r="F147" s="4" t="n">
        <x:f>F136</x:f>
        <x:v>-0.10000000000000053</x:v>
      </x:c>
      <x:c r="G147" s="4" t="n">
        <x:f>G136</x:f>
        <x:v>0</x:v>
      </x:c>
      <x:c r="H147" s="4" t="n">
        <x:f>H136</x:f>
        <x:v>0</x:v>
      </x:c>
      <x:c r="I147" s="4" t="n">
        <x:f>I136</x:f>
        <x:v>0</x:v>
      </x:c>
      <x:c r="J147" s="4" t="n">
        <x:f>J136</x:f>
        <x:v>0</x:v>
      </x:c>
      <x:c r="K147" s="4" t="n">
        <x:f>K136</x:f>
        <x:v>0</x:v>
      </x:c>
      <x:c r="L147" s="2"/>
      <x:c r="M147" s="40" t="str">
        <x:v>Historical CFO is reported. Forecast CFO bridges from net income through non-cash expenses and changes in operating working capital. Tax timing is neutral.</x:v>
      </x:c>
      <x:c r="N147" s="40" t="str">
        <x:v>Historical CFO is reported. Forecast CFO bridges from net income through non-cash expenses and changes in operating working capital. Tax timing is neutral.</x:v>
      </x:c>
      <x:c r="O147" s="40" t="str">
        <x:v>Historical CFO is reported. Forecast CFO bridges from net income through non-cash expenses and changes in operating working capital. Tax timing is neutral.</x:v>
      </x:c>
    </x:row>
    <x:row r="148" ht="24" customHeight="1">
      <x:c r="A148" s="2"/>
      <x:c r="B148" s="2"/>
      <x:c r="C148" s="2" t="str">
        <x:v>Cash effect: operating working capital</x:v>
      </x:c>
      <x:c r="D148" s="2" t="str">
        <x:v>$m</x:v>
      </x:c>
      <x:c r="E148" s="39" t="n">
        <x:f>SUM('Sources'!E36:E42)</x:f>
        <x:v>-154.10000000000002</x:v>
      </x:c>
      <x:c r="F148" s="39" t="n">
        <x:f>SUM('Sources'!F36:F42)</x:f>
        <x:v>-150.00000000000003</x:v>
      </x:c>
      <x:c r="G148" s="4" t="n">
        <x:f>-G128</x:f>
        <x:v>-326.3834676712336</x:v>
      </x:c>
      <x:c r="H148" s="4" t="n">
        <x:f>-H128</x:f>
        <x:v>-263.8345741643843</x:v>
      </x:c>
      <x:c r="I148" s="4" t="n">
        <x:f>-I128</x:f>
        <x:v>-219.974618252219</x:v>
      </x:c>
      <x:c r="J148" s="4" t="n">
        <x:f>-J128</x:f>
        <x:v>-235.43063720699274</x:v>
      </x:c>
      <x:c r="K148" s="4" t="n">
        <x:f>-K128</x:f>
        <x:v>-231.3990073115292</x:v>
      </x:c>
      <x:c r="L148" s="2"/>
      <x:c r="M148" s="40" t="str">
        <x:v>Historical CFO is reported. Forecast CFO bridges from net income through non-cash expenses and changes in operating working capital. Tax timing is neutral.</x:v>
      </x:c>
      <x:c r="N148" s="40" t="str">
        <x:v>Historical CFO is reported. Forecast CFO bridges from net income through non-cash expenses and changes in operating working capital. Tax timing is neutral.</x:v>
      </x:c>
      <x:c r="O148" s="40" t="str">
        <x:v>Historical CFO is reported. Forecast CFO bridges from net income through non-cash expenses and changes in operating working capital. Tax timing is neutral.</x:v>
      </x:c>
    </x:row>
    <x:row r="149" ht="24" customHeight="1">
      <x:c r="A149" s="2"/>
      <x:c r="B149" s="2"/>
      <x:c r="C149" s="49" t="str">
        <x:v>Operating cash flow</x:v>
      </x:c>
      <x:c r="D149" s="49" t="str">
        <x:v>$m</x:v>
      </x:c>
      <x:c r="E149" s="50" t="n">
        <x:f>'Sources'!E44</x:f>
        <x:v>1173.3</x:v>
      </x:c>
      <x:c r="F149" s="50" t="n">
        <x:f>'Sources'!F44</x:f>
        <x:v>1295.9</x:v>
      </x:c>
      <x:c r="G149" s="51" t="n">
        <x:f>SUM(G144:G148)</x:f>
        <x:v>1338.8212150087672</x:v>
      </x:c>
      <x:c r="H149" s="51" t="n">
        <x:f>SUM(H144:H148)</x:f>
        <x:v>1580.3129565996162</x:v>
      </x:c>
      <x:c r="I149" s="51" t="n">
        <x:f>SUM(I144:I148)</x:f>
        <x:v>1804.8074778229823</x:v>
      </x:c>
      <x:c r="J149" s="51" t="n">
        <x:f>SUM(J144:J148)</x:f>
        <x:v>1965.95765207362</x:v>
      </x:c>
      <x:c r="K149" s="51" t="n">
        <x:f>SUM(K144:K148)</x:f>
        <x:v>2155.958218234838</x:v>
      </x:c>
      <x:c r="L149" s="2"/>
      <x:c r="M149" s="40" t="str">
        <x:v>Historical CFO is reported. Forecast CFO bridges from net income through non-cash expenses and changes in operating working capital. Tax timing is neutral.</x:v>
      </x:c>
      <x:c r="N149" s="40" t="str">
        <x:v>Historical CFO is reported. Forecast CFO bridges from net income through non-cash expenses and changes in operating working capital. Tax timing is neutral.</x:v>
      </x:c>
      <x:c r="O149" s="40" t="str">
        <x:v>Historical CFO is reported. Forecast CFO bridges from net income through non-cash expenses and changes in operating working capital. Tax timing is neutral.</x:v>
      </x:c>
    </x:row>
    <x:row r="150" ht="22" customHeight="1">
      <x:c r="A150" s="2"/>
      <x:c r="B150" s="2"/>
      <x:c r="C150" s="2" t="str">
        <x:v>Net capex</x:v>
      </x:c>
      <x:c r="D150" s="2" t="str">
        <x:v>$m</x:v>
      </x:c>
      <x:c r="E150" s="4" t="n">
        <x:f>E141</x:f>
        <x:v>214.1</x:v>
      </x:c>
      <x:c r="F150" s="4" t="n">
        <x:f>F141</x:f>
        <x:v>230.5</x:v>
      </x:c>
      <x:c r="G150" s="4" t="n">
        <x:f>G141</x:f>
        <x:v>320.00000000000006</x:v>
      </x:c>
      <x:c r="H150" s="4" t="n">
        <x:f>H141</x:f>
        <x:v>310.5594954000001</x:v>
      </x:c>
      <x:c r="I150" s="4" t="n">
        <x:f>I141</x:f>
        <x:v>327.3009145560001</x:v>
      </x:c>
      <x:c r="J150" s="4" t="n">
        <x:f>J141</x:f>
        <x:v>341.3793374560801</x:v>
      </x:c>
      <x:c r="K150" s="4" t="n">
        <x:f>K141</x:f>
        <x:v>368.6896844525666</x:v>
      </x:c>
      <x:c r="L150" s="2"/>
      <x:c r="M150" s="2"/>
      <x:c r="N150" s="2"/>
      <x:c r="O150" s="2"/>
    </x:row>
    <x:row r="151" ht="22" customHeight="1">
      <x:c r="A151" s="2"/>
      <x:c r="B151" s="2"/>
      <x:c r="C151" s="56" t="str">
        <x:v>Free cash flow</x:v>
      </x:c>
      <x:c r="D151" s="56" t="str">
        <x:v>$m</x:v>
      </x:c>
      <x:c r="E151" s="57" t="n">
        <x:f>E149-E150</x:f>
        <x:v>959.1999999999999</x:v>
      </x:c>
      <x:c r="F151" s="57" t="n">
        <x:f>F149-F150</x:f>
        <x:v>1065.4</x:v>
      </x:c>
      <x:c r="G151" s="57" t="n">
        <x:f>G149-G150</x:f>
        <x:v>1018.8212150087672</x:v>
      </x:c>
      <x:c r="H151" s="57" t="n">
        <x:f>H149-H150</x:f>
        <x:v>1269.7534611996161</x:v>
      </x:c>
      <x:c r="I151" s="57" t="n">
        <x:f>I149-I150</x:f>
        <x:v>1477.506563266982</x:v>
      </x:c>
      <x:c r="J151" s="57" t="n">
        <x:f>J149-J150</x:f>
        <x:v>1624.57831461754</x:v>
      </x:c>
      <x:c r="K151" s="57" t="n">
        <x:f>K149-K150</x:f>
        <x:v>1787.2685337822716</x:v>
      </x:c>
      <x:c r="L151" s="2"/>
      <x:c r="M151" s="2"/>
      <x:c r="N151" s="2"/>
      <x:c r="O151" s="2"/>
    </x:row>
    <x:row r="152" ht="22" customHeight="1">
      <x:c r="A152" s="2"/>
      <x:c r="B152" s="2"/>
      <x:c r="C152" s="2" t="str">
        <x:v>FCF / net income</x:v>
      </x:c>
      <x:c r="D152" s="2" t="str">
        <x:v>%</x:v>
      </x:c>
      <x:c r="E152" s="44" t="n">
        <x:f>E151/E144</x:f>
        <x:v>0.8336520076481836</x:v>
      </x:c>
      <x:c r="F152" s="44" t="n">
        <x:f>F151/F144</x:f>
        <x:v>0.8466306420851876</x:v>
      </x:c>
      <x:c r="G152" s="44" t="n">
        <x:f>G151/G144</x:f>
        <x:v>0.7016398212071997</x:v>
      </x:c>
      <x:c r="H152" s="44" t="n">
        <x:f>H151/H144</x:f>
        <x:v>0.7873119713032867</x:v>
      </x:c>
      <x:c r="I152" s="44" t="n">
        <x:f>I151/I144</x:f>
        <x:v>0.832481154349126</x:v>
      </x:c>
      <x:c r="J152" s="44" t="n">
        <x:f>J151/J144</x:f>
        <x:v>0.8395475955836378</x:v>
      </x:c>
      <x:c r="K152" s="44" t="n">
        <x:f>K151/K144</x:f>
        <x:v>0.8511909190276356</x:v>
      </x:c>
      <x:c r="L152" s="2"/>
      <x:c r="M152" s="2"/>
      <x:c r="N152" s="2"/>
      <x:c r="O152" s="2"/>
    </x:row>
    <x:row r="153" ht="22" customHeight="1">
      <x:c r="A153" s="2"/>
      <x:c r="B153" s="2"/>
      <x:c r="C153" s="2" t="str">
        <x:v>FCF margin</x:v>
      </x:c>
      <x:c r="D153" s="2" t="str">
        <x:v>%</x:v>
      </x:c>
      <x:c r="E153" s="44" t="n">
        <x:f>E151/E97</x:f>
        <x:v>0.1271137026239067</x:v>
      </x:c>
      <x:c r="F153" s="44" t="n">
        <x:f>F151/F97</x:f>
        <x:v>0.12991890738369613</x:v>
      </x:c>
      <x:c r="G153" s="44" t="n">
        <x:f>G151/G97</x:f>
        <x:v>0.10898150358918712</x:v>
      </x:c>
      <x:c r="H153" s="44" t="n">
        <x:f>H151/H97</x:f>
        <x:v>0.12347571108343704</x:v>
      </x:c>
      <x:c r="I153" s="44" t="n">
        <x:f>I151/I97</x:f>
        <x:v>0.13181506597964063</x:v>
      </x:c>
      <x:c r="J153" s="44" t="n">
        <x:f>J151/J97</x:f>
        <x:v>0.13420000405885335</x:v>
      </x:c>
      <x:c r="K153" s="44" t="n">
        <x:f>K151/K97</x:f>
        <x:v>0.1367029639776763</x:v>
      </x:c>
      <x:c r="L153" s="2"/>
      <x:c r="M153" s="2"/>
      <x:c r="N153" s="2"/>
      <x:c r="O153" s="2"/>
    </x:row>
    <x:row r="154" ht="22" customHeight="1">
      <x:c r="A154" s="2"/>
      <x:c r="B154" s="2"/>
      <x:c r="C154" s="49" t="str">
        <x:v>Cumulative forecast FCF</x:v>
      </x:c>
      <x:c r="D154" s="49" t="str">
        <x:v>$m</x:v>
      </x:c>
      <x:c r="E154" s="51"/>
      <x:c r="F154" s="51"/>
      <x:c r="G154" s="51" t="n">
        <x:f>SUM($G151:G151)</x:f>
        <x:v>1018.8212150087672</x:v>
      </x:c>
      <x:c r="H154" s="51" t="n">
        <x:f>SUM($G151:H151)</x:f>
        <x:v>2288.5746762083836</x:v>
      </x:c>
      <x:c r="I154" s="51" t="n">
        <x:f>SUM($G151:I151)</x:f>
        <x:v>3766.0812394753657</x:v>
      </x:c>
      <x:c r="J154" s="51" t="n">
        <x:f>SUM($G151:J151)</x:f>
        <x:v>5390.659554092906</x:v>
      </x:c>
      <x:c r="K154" s="51" t="n">
        <x:f>SUM($G151:K151)</x:f>
        <x:v>7177.928087875177</x:v>
      </x:c>
      <x:c r="L154" s="2"/>
      <x:c r="M154" s="2"/>
      <x:c r="N154" s="2"/>
      <x:c r="O154" s="2"/>
    </x:row>
    <x:row r="155" ht="22" customHeight="1">
      <x:c r="A155" s="2"/>
      <x:c r="B155" s="2"/>
      <x:c r="C155" s="2"/>
      <x:c r="D155" s="2"/>
      <x:c r="E155" s="4"/>
      <x:c r="F155" s="4"/>
      <x:c r="G155" s="4"/>
      <x:c r="H155" s="4"/>
      <x:c r="I155" s="4"/>
      <x:c r="J155" s="4"/>
      <x:c r="K155" s="4"/>
      <x:c r="L155" s="2"/>
      <x:c r="M155" s="2"/>
      <x:c r="N155" s="2"/>
      <x:c r="O155" s="2"/>
    </x:row>
    <x:row r="156" ht="26" customHeight="1">
      <x:c r="A156" s="2"/>
      <x:c r="B156" s="2"/>
      <x:c r="C156" s="26" t="str">
        <x:v>FY2026 forecast against H1 actuals</x:v>
      </x:c>
      <x:c r="D156" s="26" t="str">
        <x:v>FY2026 forecast against H1 actuals</x:v>
      </x:c>
      <x:c r="E156" s="27" t="str">
        <x:v>FY2026 forecast against H1 actuals</x:v>
      </x:c>
      <x:c r="F156" s="27" t="str">
        <x:v>FY2026 forecast against H1 actuals</x:v>
      </x:c>
      <x:c r="G156" s="27" t="str">
        <x:v>FY2026 forecast against H1 actuals</x:v>
      </x:c>
      <x:c r="H156" s="27" t="str">
        <x:v>FY2026 forecast against H1 actuals</x:v>
      </x:c>
      <x:c r="I156" s="27" t="str">
        <x:v>FY2026 forecast against H1 actuals</x:v>
      </x:c>
      <x:c r="J156" s="27" t="str">
        <x:v>FY2026 forecast against H1 actuals</x:v>
      </x:c>
      <x:c r="K156" s="27" t="str">
        <x:v>FY2026 forecast against H1 actuals</x:v>
      </x:c>
      <x:c r="L156" s="2"/>
      <x:c r="M156" s="2"/>
      <x:c r="N156" s="2"/>
      <x:c r="O156" s="2"/>
    </x:row>
    <x:row r="157" ht="24" customHeight="1">
      <x:c r="A157" s="2"/>
      <x:c r="B157" s="2"/>
      <x:c r="C157" s="2" t="str">
        <x:v>Sales: H1 reported</x:v>
      </x:c>
      <x:c r="D157" s="2" t="str">
        <x:v>$m</x:v>
      </x:c>
      <x:c r="E157" s="4"/>
      <x:c r="F157" s="4"/>
      <x:c r="G157" s="39" t="n">
        <x:f>'Sources'!H8</x:f>
        <x:v>4588.6</x:v>
      </x:c>
      <x:c r="H157" s="4"/>
      <x:c r="I157" s="4"/>
      <x:c r="J157" s="4"/>
      <x:c r="K157" s="4"/>
      <x:c r="L157" s="2"/>
      <x:c r="M157" s="40" t="str">
        <x:v>FY2026 is a full-year estimate. H2 is the forecast less H1 reported, exposing the implied remaining-year requirement.</x:v>
      </x:c>
      <x:c r="N157" s="40" t="str">
        <x:v>FY2026 is a full-year estimate. H2 is the forecast less H1 reported, exposing the implied remaining-year requirement.</x:v>
      </x:c>
      <x:c r="O157" s="40" t="str">
        <x:v>FY2026 is a full-year estimate. H2 is the forecast less H1 reported, exposing the implied remaining-year requirement.</x:v>
      </x:c>
    </x:row>
    <x:row r="158" ht="24" customHeight="1">
      <x:c r="A158" s="2"/>
      <x:c r="B158" s="2"/>
      <x:c r="C158" s="2" t="str">
        <x:v>Sales: H2 implied</x:v>
      </x:c>
      <x:c r="D158" s="2" t="str">
        <x:v>$m</x:v>
      </x:c>
      <x:c r="E158" s="4"/>
      <x:c r="F158" s="4"/>
      <x:c r="G158" s="4" t="n">
        <x:f>G97-G157</x:f>
        <x:v>4759.970000000001</x:v>
      </x:c>
      <x:c r="H158" s="4"/>
      <x:c r="I158" s="4"/>
      <x:c r="J158" s="4"/>
      <x:c r="K158" s="4"/>
      <x:c r="L158" s="2"/>
      <x:c r="M158" s="40" t="str">
        <x:v>FY2026 is a full-year estimate. H2 is the forecast less H1 reported, exposing the implied remaining-year requirement.</x:v>
      </x:c>
      <x:c r="N158" s="40" t="str">
        <x:v>FY2026 is a full-year estimate. H2 is the forecast less H1 reported, exposing the implied remaining-year requirement.</x:v>
      </x:c>
      <x:c r="O158" s="40" t="str">
        <x:v>FY2026 is a full-year estimate. H2 is the forecast less H1 reported, exposing the implied remaining-year requirement.</x:v>
      </x:c>
    </x:row>
    <x:row r="159" ht="24" customHeight="1">
      <x:c r="A159" s="2"/>
      <x:c r="B159" s="2"/>
      <x:c r="C159" s="2" t="str">
        <x:v>H2 implied sales growth</x:v>
      </x:c>
      <x:c r="D159" s="2" t="str">
        <x:v>%</x:v>
      </x:c>
      <x:c r="E159" s="44"/>
      <x:c r="F159" s="44"/>
      <x:c r="G159" s="45" t="n">
        <x:f>G158/('Sources'!F8-'Sources'!G8)-1</x:f>
        <x:v>0.14400355700826784</x:v>
      </x:c>
      <x:c r="H159" s="44"/>
      <x:c r="I159" s="44"/>
      <x:c r="J159" s="44"/>
      <x:c r="K159" s="44"/>
      <x:c r="L159" s="2"/>
      <x:c r="M159" s="40" t="str">
        <x:v>FY2026 is a full-year estimate. H2 is the forecast less H1 reported, exposing the implied remaining-year requirement.</x:v>
      </x:c>
      <x:c r="N159" s="40" t="str">
        <x:v>FY2026 is a full-year estimate. H2 is the forecast less H1 reported, exposing the implied remaining-year requirement.</x:v>
      </x:c>
      <x:c r="O159" s="40" t="str">
        <x:v>FY2026 is a full-year estimate. H2 is the forecast less H1 reported, exposing the implied remaining-year requirement.</x:v>
      </x:c>
    </x:row>
    <x:row r="160" ht="24" customHeight="1">
      <x:c r="A160" s="2"/>
      <x:c r="B160" s="2"/>
      <x:c r="C160" s="2" t="str">
        <x:v>EBIT: H1 reported</x:v>
      </x:c>
      <x:c r="D160" s="2" t="str">
        <x:v>$m</x:v>
      </x:c>
      <x:c r="E160" s="4"/>
      <x:c r="F160" s="4"/>
      <x:c r="G160" s="39" t="n">
        <x:f>'Sources'!H12</x:f>
        <x:v>949.4</x:v>
      </x:c>
      <x:c r="H160" s="4"/>
      <x:c r="I160" s="4"/>
      <x:c r="J160" s="4"/>
      <x:c r="K160" s="4"/>
      <x:c r="L160" s="2"/>
      <x:c r="M160" s="40" t="str">
        <x:v>FY2026 is a full-year estimate. H2 is the forecast less H1 reported, exposing the implied remaining-year requirement.</x:v>
      </x:c>
      <x:c r="N160" s="40" t="str">
        <x:v>FY2026 is a full-year estimate. H2 is the forecast less H1 reported, exposing the implied remaining-year requirement.</x:v>
      </x:c>
      <x:c r="O160" s="40" t="str">
        <x:v>FY2026 is a full-year estimate. H2 is the forecast less H1 reported, exposing the implied remaining-year requirement.</x:v>
      </x:c>
    </x:row>
    <x:row r="161" ht="24" customHeight="1">
      <x:c r="A161" s="2"/>
      <x:c r="B161" s="2"/>
      <x:c r="C161" s="2" t="str">
        <x:v>EBIT: H2 implied</x:v>
      </x:c>
      <x:c r="D161" s="2" t="str">
        <x:v>$m</x:v>
      </x:c>
      <x:c r="E161" s="4"/>
      <x:c r="F161" s="4"/>
      <x:c r="G161" s="4" t="n">
        <x:f>G105-G160</x:f>
        <x:v>976.4054200000011</x:v>
      </x:c>
      <x:c r="H161" s="4"/>
      <x:c r="I161" s="4"/>
      <x:c r="J161" s="4"/>
      <x:c r="K161" s="4"/>
      <x:c r="L161" s="2"/>
      <x:c r="M161" s="40" t="str">
        <x:v>FY2026 is a full-year estimate. H2 is the forecast less H1 reported, exposing the implied remaining-year requirement.</x:v>
      </x:c>
      <x:c r="N161" s="40" t="str">
        <x:v>FY2026 is a full-year estimate. H2 is the forecast less H1 reported, exposing the implied remaining-year requirement.</x:v>
      </x:c>
      <x:c r="O161" s="40" t="str">
        <x:v>FY2026 is a full-year estimate. H2 is the forecast less H1 reported, exposing the implied remaining-year requirement.</x:v>
      </x:c>
    </x:row>
    <x:row r="162" ht="22" customHeight="1">
      <x:c r="A162" s="2"/>
      <x:c r="B162" s="2"/>
      <x:c r="C162" s="2" t="str">
        <x:v>H2 implied operating margin</x:v>
      </x:c>
      <x:c r="D162" s="2" t="str">
        <x:v>%</x:v>
      </x:c>
      <x:c r="E162" s="44"/>
      <x:c r="F162" s="44"/>
      <x:c r="G162" s="44" t="n">
        <x:f>G161/G158</x:f>
        <x:v>0.20512848190219704</x:v>
      </x:c>
      <x:c r="H162" s="44"/>
      <x:c r="I162" s="44"/>
      <x:c r="J162" s="44"/>
      <x:c r="K162" s="44"/>
      <x:c r="L162" s="2"/>
      <x:c r="M162" s="2"/>
      <x:c r="N162" s="2"/>
      <x:c r="O162" s="2"/>
    </x:row>
    <x:row r="163" ht="22" customHeight="1">
      <x:c r="A163" s="2"/>
      <x:c r="B163" s="2"/>
      <x:c r="C163" s="2" t="str">
        <x:v>CFO: H1 reported</x:v>
      </x:c>
      <x:c r="D163" s="2" t="str">
        <x:v>$m</x:v>
      </x:c>
      <x:c r="E163" s="4"/>
      <x:c r="F163" s="4"/>
      <x:c r="G163" s="39" t="n">
        <x:f>'Sources'!H44</x:f>
        <x:v>644.1</x:v>
      </x:c>
      <x:c r="H163" s="4"/>
      <x:c r="I163" s="4"/>
      <x:c r="J163" s="4"/>
      <x:c r="K163" s="4"/>
      <x:c r="L163" s="2"/>
      <x:c r="M163" s="2"/>
      <x:c r="N163" s="2"/>
      <x:c r="O163" s="2"/>
    </x:row>
    <x:row r="164" ht="22" customHeight="1">
      <x:c r="A164" s="2"/>
      <x:c r="B164" s="2"/>
      <x:c r="C164" s="2" t="str">
        <x:v>CFO: H2 implied</x:v>
      </x:c>
      <x:c r="D164" s="2" t="str">
        <x:v>$m</x:v>
      </x:c>
      <x:c r="E164" s="4"/>
      <x:c r="F164" s="4"/>
      <x:c r="G164" s="4" t="n">
        <x:f>G149-G163</x:f>
        <x:v>694.7212150087672</x:v>
      </x:c>
      <x:c r="H164" s="4"/>
      <x:c r="I164" s="4"/>
      <x:c r="J164" s="4"/>
      <x:c r="K164" s="4"/>
      <x:c r="L164" s="2"/>
      <x:c r="M164" s="2"/>
      <x:c r="N164" s="2"/>
      <x:c r="O164" s="2"/>
    </x:row>
    <x:row r="165" ht="22" customHeight="1">
      <x:c r="A165" s="2"/>
      <x:c r="B165" s="2"/>
      <x:c r="C165" s="2" t="str">
        <x:v>Net capex: H1 reported</x:v>
      </x:c>
      <x:c r="D165" s="2" t="str">
        <x:v>$m</x:v>
      </x:c>
      <x:c r="E165" s="4"/>
      <x:c r="F165" s="4"/>
      <x:c r="G165" s="39" t="n">
        <x:f>'Sources'!H45-'Sources'!H46</x:f>
        <x:v>118.2</x:v>
      </x:c>
      <x:c r="H165" s="4"/>
      <x:c r="I165" s="4"/>
      <x:c r="J165" s="4"/>
      <x:c r="K165" s="4"/>
      <x:c r="L165" s="2"/>
      <x:c r="M165" s="2"/>
      <x:c r="N165" s="2"/>
      <x:c r="O165" s="2"/>
    </x:row>
    <x:row r="166" ht="22" customHeight="1">
      <x:c r="A166" s="2"/>
      <x:c r="B166" s="2"/>
      <x:c r="C166" s="2" t="str">
        <x:v>Net capex: H2 implied</x:v>
      </x:c>
      <x:c r="D166" s="2" t="str">
        <x:v>$m</x:v>
      </x:c>
      <x:c r="E166" s="4"/>
      <x:c r="F166" s="4"/>
      <x:c r="G166" s="4" t="n">
        <x:f>G141-G165</x:f>
        <x:v>201.80000000000007</x:v>
      </x:c>
      <x:c r="H166" s="4"/>
      <x:c r="I166" s="4"/>
      <x:c r="J166" s="4"/>
      <x:c r="K166" s="4"/>
      <x:c r="L166" s="2"/>
      <x:c r="M166" s="2"/>
      <x:c r="N166" s="2"/>
      <x:c r="O166" s="2"/>
    </x:row>
    <x:row r="167" ht="22" customHeight="1">
      <x:c r="A167" s="2"/>
      <x:c r="B167" s="2"/>
      <x:c r="C167" s="2"/>
      <x:c r="D167" s="2"/>
      <x:c r="E167" s="4"/>
      <x:c r="F167" s="4"/>
      <x:c r="G167" s="4"/>
      <x:c r="H167" s="4"/>
      <x:c r="I167" s="4"/>
      <x:c r="J167" s="4"/>
      <x:c r="K167" s="4"/>
      <x:c r="L167" s="2"/>
      <x:c r="M167" s="2"/>
      <x:c r="N167" s="2"/>
      <x:c r="O167" s="2"/>
    </x:row>
    <x:row r="168" ht="26" customHeight="1">
      <x:c r="A168" s="2"/>
      <x:c r="B168" s="2"/>
      <x:c r="C168" s="26" t="str">
        <x:v>Growth and operating leverage</x:v>
      </x:c>
      <x:c r="D168" s="26" t="str">
        <x:v>Growth and operating leverage</x:v>
      </x:c>
      <x:c r="E168" s="27" t="str">
        <x:v>Growth and operating leverage</x:v>
      </x:c>
      <x:c r="F168" s="27" t="str">
        <x:v>Growth and operating leverage</x:v>
      </x:c>
      <x:c r="G168" s="27" t="str">
        <x:v>Growth and operating leverage</x:v>
      </x:c>
      <x:c r="H168" s="27" t="str">
        <x:v>Growth and operating leverage</x:v>
      </x:c>
      <x:c r="I168" s="27" t="str">
        <x:v>Growth and operating leverage</x:v>
      </x:c>
      <x:c r="J168" s="27" t="str">
        <x:v>Growth and operating leverage</x:v>
      </x:c>
      <x:c r="K168" s="27" t="str">
        <x:v>Growth and operating leverage</x:v>
      </x:c>
      <x:c r="L168" s="2"/>
      <x:c r="M168" s="2"/>
      <x:c r="N168" s="2"/>
      <x:c r="O168" s="2"/>
    </x:row>
    <x:row r="169" ht="22" customHeight="1">
      <x:c r="A169" s="2"/>
      <x:c r="B169" s="2"/>
      <x:c r="C169" s="2" t="str">
        <x:v>Revenue CAGR, FY2025–30</x:v>
      </x:c>
      <x:c r="D169" s="2" t="str">
        <x:v>%</x:v>
      </x:c>
      <x:c r="E169" s="44"/>
      <x:c r="F169" s="44"/>
      <x:c r="G169" s="44"/>
      <x:c r="H169" s="44"/>
      <x:c r="I169" s="44"/>
      <x:c r="J169" s="44"/>
      <x:c r="K169" s="44" t="n">
        <x:f>(K97/$F97)^(1/5)-1</x:f>
        <x:v>0.09777745911626368</x:v>
      </x:c>
      <x:c r="L169" s="2"/>
      <x:c r="M169" s="2"/>
      <x:c r="N169" s="2"/>
      <x:c r="O169" s="2"/>
    </x:row>
    <x:row r="170" ht="22" customHeight="1">
      <x:c r="A170" s="2"/>
      <x:c r="B170" s="2"/>
      <x:c r="C170" s="2" t="str">
        <x:v>EPS CAGR, FY2025–30</x:v>
      </x:c>
      <x:c r="D170" s="2" t="str">
        <x:v>%</x:v>
      </x:c>
      <x:c r="E170" s="44"/>
      <x:c r="F170" s="44"/>
      <x:c r="G170" s="44"/>
      <x:c r="H170" s="44"/>
      <x:c r="I170" s="44"/>
      <x:c r="J170" s="44"/>
      <x:c r="K170" s="44" t="n">
        <x:f>(K112/$F112)^(1/5)-1</x:f>
        <x:v>0.10856813769577922</x:v>
      </x:c>
      <x:c r="L170" s="2"/>
      <x:c r="M170" s="2"/>
      <x:c r="N170" s="2"/>
      <x:c r="O170" s="2"/>
    </x:row>
    <x:row r="171" ht="22" customHeight="1">
      <x:c r="A171" s="2"/>
      <x:c r="B171" s="2"/>
      <x:c r="C171" s="2" t="str">
        <x:v>FCF CAGR, FY2025–30</x:v>
      </x:c>
      <x:c r="D171" s="2" t="str">
        <x:v>%</x:v>
      </x:c>
      <x:c r="E171" s="44"/>
      <x:c r="F171" s="44"/>
      <x:c r="G171" s="44"/>
      <x:c r="H171" s="44"/>
      <x:c r="I171" s="44"/>
      <x:c r="J171" s="44"/>
      <x:c r="K171" s="44" t="n">
        <x:f>(K151/$F151)^(1/5)-1</x:f>
        <x:v>0.10900990081226336</x:v>
      </x:c>
      <x:c r="L171" s="2"/>
      <x:c r="M171" s="2"/>
      <x:c r="N171" s="2"/>
      <x:c r="O171" s="2"/>
    </x:row>
    <x:row r="172" ht="22" customHeight="1">
      <x:c r="A172" s="2"/>
      <x:c r="B172" s="2"/>
      <x:c r="C172" s="2" t="str">
        <x:v>Incremental operating margin</x:v>
      </x:c>
      <x:c r="D172" s="2" t="str">
        <x:v>%</x:v>
      </x:c>
      <x:c r="E172" s="44"/>
      <x:c r="F172" s="44"/>
      <x:c r="G172" s="44" t="n">
        <x:f>IF(G97=F97,"n.a.",(G105-F105)/(G97-F97))</x:f>
        <x:v>0.23526912122083204</x:v>
      </x:c>
      <x:c r="H172" s="44" t="n">
        <x:f>IF(H97=G97,"n.a.",(H105-G105)/(H97-G97))</x:f>
        <x:v>0.2279999999999989</x:v>
      </x:c>
      <x:c r="I172" s="44" t="n">
        <x:f>IF(I97=H97,"n.a.",(I105-H105)/(I97-H97))</x:f>
        <x:v>0.2322222222222228</x:v>
      </x:c>
      <x:c r="J172" s="44" t="n">
        <x:f>IF(J97=I97,"n.a.",(J105-I105)/(J97-I97))</x:f>
        <x:v>0.2369999999999999</x:v>
      </x:c>
      <x:c r="K172" s="44" t="n">
        <x:f>IF(K97=J97,"n.a.",(K105-J105)/(K97-J97))</x:f>
        <x:v>0.22549999999999948</x:v>
      </x:c>
      <x:c r="L172" s="2"/>
      <x:c r="M172" s="2"/>
      <x:c r="N172" s="2"/>
      <x:c r="O172" s="2"/>
    </x:row>
    <x:row r="173" ht="22" customHeight="1">
      <x:c r="A173" s="2"/>
      <x:c r="B173" s="2"/>
      <x:c r="C173" s="2"/>
      <x:c r="D173" s="2"/>
      <x:c r="E173" s="4"/>
      <x:c r="F173" s="4"/>
      <x:c r="G173" s="4"/>
      <x:c r="H173" s="4"/>
      <x:c r="I173" s="4"/>
      <x:c r="J173" s="4"/>
      <x:c r="K173" s="4"/>
      <x:c r="L173" s="2"/>
      <x:c r="M173" s="2"/>
      <x:c r="N173" s="2"/>
      <x:c r="O173" s="2"/>
    </x:row>
    <x:row r="174" ht="22" customHeight="1">
      <x:c r="A174" s="2"/>
      <x:c r="B174" s="2"/>
      <x:c r="C174" s="2"/>
      <x:c r="D174" s="2"/>
      <x:c r="E174" s="4"/>
      <x:c r="F174" s="4"/>
      <x:c r="G174" s="4"/>
      <x:c r="H174" s="4"/>
      <x:c r="I174" s="4"/>
      <x:c r="J174" s="4"/>
      <x:c r="K174" s="4"/>
      <x:c r="L174" s="2"/>
      <x:c r="M174" s="2"/>
      <x:c r="N174" s="2"/>
      <x:c r="O174" s="2"/>
    </x:row>
    <x:row r="175" ht="22" customHeight="1">
      <x:c r="A175" s="2"/>
      <x:c r="B175" s="2"/>
      <x:c r="C175" s="2"/>
      <x:c r="D175" s="2"/>
      <x:c r="E175" s="4"/>
      <x:c r="F175" s="4"/>
      <x:c r="G175" s="4"/>
      <x:c r="H175" s="4"/>
      <x:c r="I175" s="4"/>
      <x:c r="J175" s="4"/>
      <x:c r="K175" s="4"/>
      <x:c r="L175" s="2"/>
      <x:c r="M175" s="2"/>
      <x:c r="N175" s="2"/>
      <x:c r="O175" s="2"/>
    </x:row>
    <x:row r="176" ht="22" customHeight="1">
      <x:c r="A176" s="2"/>
      <x:c r="B176" s="2"/>
      <x:c r="C176" s="2"/>
      <x:c r="D176" s="2"/>
      <x:c r="E176" s="4"/>
      <x:c r="F176" s="4"/>
      <x:c r="G176" s="4"/>
      <x:c r="H176" s="4"/>
      <x:c r="I176" s="4"/>
      <x:c r="J176" s="4"/>
      <x:c r="K176" s="4"/>
      <x:c r="L176" s="2"/>
      <x:c r="M176" s="2"/>
      <x:c r="N176" s="2"/>
      <x:c r="O176" s="2"/>
    </x:row>
    <x:row r="177" ht="22" customHeight="1">
      <x:c r="A177" s="2"/>
      <x:c r="B177" s="2"/>
      <x:c r="C177" s="2"/>
      <x:c r="D177" s="2"/>
      <x:c r="E177" s="4"/>
      <x:c r="F177" s="4"/>
      <x:c r="G177" s="4"/>
      <x:c r="H177" s="4"/>
      <x:c r="I177" s="4"/>
      <x:c r="J177" s="4"/>
      <x:c r="K177" s="4"/>
      <x:c r="L177" s="2"/>
      <x:c r="M177" s="2"/>
      <x:c r="N177" s="2"/>
      <x:c r="O177" s="2"/>
    </x:row>
    <x:row r="178" ht="22" customHeight="1">
      <x:c r="A178" s="2"/>
      <x:c r="B178" s="2"/>
      <x:c r="C178" s="2"/>
      <x:c r="D178" s="2"/>
      <x:c r="E178" s="4"/>
      <x:c r="F178" s="4"/>
      <x:c r="G178" s="4"/>
      <x:c r="H178" s="4"/>
      <x:c r="I178" s="4"/>
      <x:c r="J178" s="4"/>
      <x:c r="K178" s="4"/>
      <x:c r="L178" s="2"/>
      <x:c r="M178" s="2"/>
      <x:c r="N178" s="2"/>
      <x:c r="O178" s="2"/>
    </x:row>
    <x:row r="179" ht="22" customHeight="1">
      <x:c r="A179" s="2"/>
      <x:c r="B179" s="2"/>
      <x:c r="C179" s="2"/>
      <x:c r="D179" s="2"/>
      <x:c r="E179" s="4"/>
      <x:c r="F179" s="4"/>
      <x:c r="G179" s="4"/>
      <x:c r="H179" s="4"/>
      <x:c r="I179" s="4"/>
      <x:c r="J179" s="4"/>
      <x:c r="K179" s="4"/>
      <x:c r="L179" s="2"/>
      <x:c r="M179" s="2"/>
      <x:c r="N179" s="2"/>
      <x:c r="O179" s="2"/>
    </x:row>
    <x:row r="180" ht="22" customHeight="1">
      <x:c r="A180" s="2"/>
      <x:c r="B180" s="2"/>
      <x:c r="C180" s="2"/>
      <x:c r="D180" s="2"/>
      <x:c r="E180" s="4"/>
      <x:c r="F180" s="4"/>
      <x:c r="G180" s="4"/>
      <x:c r="H180" s="4"/>
      <x:c r="I180" s="4"/>
      <x:c r="J180" s="4"/>
      <x:c r="K180" s="4"/>
      <x:c r="L180" s="2"/>
      <x:c r="M180" s="2"/>
      <x:c r="N180" s="2"/>
      <x:c r="O180" s="2"/>
    </x:row>
    <x:row r="181" ht="22" customHeight="1">
      <x:c r="A181" s="2"/>
      <x:c r="B181" s="2"/>
      <x:c r="C181" s="2"/>
      <x:c r="D181" s="2"/>
      <x:c r="E181" s="4"/>
      <x:c r="F181" s="4"/>
      <x:c r="G181" s="4"/>
      <x:c r="H181" s="4"/>
      <x:c r="I181" s="4"/>
      <x:c r="J181" s="4"/>
      <x:c r="K181" s="4"/>
      <x:c r="L181" s="2"/>
      <x:c r="M181" s="2"/>
      <x:c r="N181" s="2"/>
      <x:c r="O181" s="2"/>
    </x:row>
    <x:row r="182" ht="22" customHeight="1">
      <x:c r="A182" s="2"/>
      <x:c r="B182" s="2"/>
      <x:c r="C182" s="2"/>
      <x:c r="D182" s="2"/>
      <x:c r="E182" s="4"/>
      <x:c r="F182" s="4"/>
      <x:c r="G182" s="4"/>
      <x:c r="H182" s="4"/>
      <x:c r="I182" s="4"/>
      <x:c r="J182" s="4"/>
      <x:c r="K182" s="4"/>
      <x:c r="L182" s="2"/>
      <x:c r="M182" s="2"/>
      <x:c r="N182" s="2"/>
      <x:c r="O182" s="2"/>
    </x:row>
    <x:row r="183" ht="27" customHeight="1">
      <x:c r="A183" s="2"/>
      <x:c r="B183" s="2"/>
      <x:c r="C183" s="19" t="str">
        <x:v>Line item</x:v>
      </x:c>
      <x:c r="D183" s="19" t="str">
        <x:v>Unit</x:v>
      </x:c>
      <x:c r="E183" s="20" t="str">
        <x:v>FY2024 A</x:v>
      </x:c>
      <x:c r="F183" s="20" t="str">
        <x:v>FY2025 A</x:v>
      </x:c>
      <x:c r="G183" s="20" t="str">
        <x:v>FY2026 E</x:v>
      </x:c>
      <x:c r="H183" s="20" t="str">
        <x:v>FY2027 E</x:v>
      </x:c>
      <x:c r="I183" s="20" t="str">
        <x:v>FY2028 E</x:v>
      </x:c>
      <x:c r="J183" s="20" t="str">
        <x:v>FY2029 E</x:v>
      </x:c>
      <x:c r="K183" s="20" t="str">
        <x:v>FY2030 E</x:v>
      </x:c>
      <x:c r="L183" s="2"/>
      <x:c r="M183" s="2"/>
      <x:c r="N183" s="2"/>
      <x:c r="O183" s="2"/>
    </x:row>
    <x:row r="184" ht="26" customHeight="1">
      <x:c r="A184" s="2"/>
      <x:c r="B184" s="2"/>
      <x:c r="C184" s="26" t="str">
        <x:v>Bull case</x:v>
      </x:c>
      <x:c r="D184" s="26" t="str">
        <x:v>Bull case</x:v>
      </x:c>
      <x:c r="E184" s="27" t="str">
        <x:v>Bull case</x:v>
      </x:c>
      <x:c r="F184" s="27" t="str">
        <x:v>Bull case</x:v>
      </x:c>
      <x:c r="G184" s="27" t="str">
        <x:v>Bull case</x:v>
      </x:c>
      <x:c r="H184" s="27" t="str">
        <x:v>Bull case</x:v>
      </x:c>
      <x:c r="I184" s="27" t="str">
        <x:v>Bull case</x:v>
      </x:c>
      <x:c r="J184" s="27" t="str">
        <x:v>Bull case</x:v>
      </x:c>
      <x:c r="K184" s="27" t="str">
        <x:v>Bull case</x:v>
      </x:c>
      <x:c r="L184" s="2"/>
      <x:c r="M184" s="2"/>
      <x:c r="N184" s="2"/>
      <x:c r="O184" s="2"/>
    </x:row>
    <x:row r="185" ht="22" customHeight="1">
      <x:c r="A185" s="2"/>
      <x:c r="B185" s="2"/>
      <x:c r="C185" s="2" t="str">
        <x:v>Revenue</x:v>
      </x:c>
      <x:c r="D185" s="2" t="str">
        <x:v>$m</x:v>
      </x:c>
      <x:c r="E185" s="39" t="n">
        <x:f>'Sources'!E8</x:f>
        <x:v>7546</x:v>
      </x:c>
      <x:c r="F185" s="39" t="n">
        <x:f>'Sources'!F8</x:f>
        <x:v>8200.5</x:v>
      </x:c>
      <x:c r="G185" s="4" t="n">
        <x:f>F185*(1+G186)</x:f>
        <x:v>9430.574999999999</x:v>
      </x:c>
      <x:c r="H185" s="4" t="n">
        <x:f>G185*(1+H186)</x:f>
        <x:v>10656.549749999998</x:v>
      </x:c>
      <x:c r="I185" s="4" t="n">
        <x:f>H185*(1+I186)</x:f>
        <x:v>11935.33572</x:v>
      </x:c>
      <x:c r="J185" s="4" t="n">
        <x:f>I185*(1+J186)</x:f>
        <x:v>13248.2226492</x:v>
      </x:c>
      <x:c r="K185" s="4" t="n">
        <x:f>J185*(1+K186)</x:f>
        <x:v>14573.044914120002</x:v>
      </x:c>
      <x:c r="L185" s="2"/>
      <x:c r="M185" s="2"/>
      <x:c r="N185" s="2"/>
      <x:c r="O185" s="2"/>
    </x:row>
    <x:row r="186" ht="22" customHeight="1">
      <x:c r="A186" s="2"/>
      <x:c r="B186" s="2"/>
      <x:c r="C186" s="2" t="str">
        <x:v>Revenue growth</x:v>
      </x:c>
      <x:c r="D186" s="2" t="str">
        <x:v>%</x:v>
      </x:c>
      <x:c r="E186" s="44"/>
      <x:c r="F186" s="44" t="n">
        <x:f>F185/E185-1</x:f>
        <x:v>0.08673469387755106</x:v>
      </x:c>
      <x:c r="G186" s="45" t="n">
        <x:f>IF(ISNUMBER('Assumptions'!G12),'Assumptions'!G12,NA())</x:f>
        <x:v>0.15</x:v>
      </x:c>
      <x:c r="H186" s="45" t="n">
        <x:f>IF(ISNUMBER('Assumptions'!H12),'Assumptions'!H12,NA())</x:f>
        <x:v>0.13</x:v>
      </x:c>
      <x:c r="I186" s="45" t="n">
        <x:f>IF(ISNUMBER('Assumptions'!I12),'Assumptions'!I12,NA())</x:f>
        <x:v>0.12</x:v>
      </x:c>
      <x:c r="J186" s="45" t="n">
        <x:f>IF(ISNUMBER('Assumptions'!J12),'Assumptions'!J12,NA())</x:f>
        <x:v>0.11</x:v>
      </x:c>
      <x:c r="K186" s="45" t="n">
        <x:f>IF(ISNUMBER('Assumptions'!K12),'Assumptions'!K12,NA())</x:f>
        <x:v>0.1</x:v>
      </x:c>
      <x:c r="L186" s="2"/>
      <x:c r="M186" s="2"/>
      <x:c r="N186" s="2"/>
      <x:c r="O186" s="2"/>
    </x:row>
    <x:row r="187" ht="22" customHeight="1">
      <x:c r="A187" s="2"/>
      <x:c r="B187" s="2"/>
      <x:c r="C187" s="2" t="str">
        <x:v>Cost of sales</x:v>
      </x:c>
      <x:c r="D187" s="2" t="str">
        <x:v>$m</x:v>
      </x:c>
      <x:c r="E187" s="39" t="n">
        <x:f>'Sources'!E9</x:f>
        <x:v>4144.1</x:v>
      </x:c>
      <x:c r="F187" s="39" t="n">
        <x:f>'Sources'!F9</x:f>
        <x:v>4509.3</x:v>
      </x:c>
      <x:c r="G187" s="4" t="n">
        <x:f>G185-G188</x:f>
        <x:v>5205.6774</x:v>
      </x:c>
      <x:c r="H187" s="4" t="n">
        <x:f>H185-H188</x:f>
        <x:v>5871.758912249999</x:v>
      </x:c>
      <x:c r="I187" s="4" t="n">
        <x:f>I185-I188</x:f>
        <x:v>6564.434646</x:v>
      </x:c>
      <x:c r="J187" s="4" t="n">
        <x:f>J185-J188</x:f>
        <x:v>7279.898345735401</x:v>
      </x:c>
      <x:c r="K187" s="4" t="n">
        <x:f>K185-K188</x:f>
        <x:v>8000.601657851881</x:v>
      </x:c>
      <x:c r="L187" s="2"/>
      <x:c r="M187" s="2"/>
      <x:c r="N187" s="2"/>
      <x:c r="O187" s="2"/>
    </x:row>
    <x:row r="188" ht="22" customHeight="1">
      <x:c r="A188" s="2"/>
      <x:c r="B188" s="2"/>
      <x:c r="C188" s="2" t="str">
        <x:v>Gross profit</x:v>
      </x:c>
      <x:c r="D188" s="2" t="str">
        <x:v>$m</x:v>
      </x:c>
      <x:c r="E188" s="39" t="n">
        <x:f>'Sources'!E10</x:f>
        <x:v>3401.9</x:v>
      </x:c>
      <x:c r="F188" s="39" t="n">
        <x:f>'Sources'!F10</x:f>
        <x:v>3691.2</x:v>
      </x:c>
      <x:c r="G188" s="4" t="n">
        <x:f>G185*G190</x:f>
        <x:v>4224.897599999999</x:v>
      </x:c>
      <x:c r="H188" s="4" t="n">
        <x:f>H185*H190</x:f>
        <x:v>4784.790837749999</x:v>
      </x:c>
      <x:c r="I188" s="4" t="n">
        <x:f>I185*I190</x:f>
        <x:v>5370.901073999999</x:v>
      </x:c>
      <x:c r="J188" s="4" t="n">
        <x:f>J185*J190</x:f>
        <x:v>5968.3243034646</x:v>
      </x:c>
      <x:c r="K188" s="4" t="n">
        <x:f>K185*K190</x:f>
        <x:v>6572.443256268121</x:v>
      </x:c>
      <x:c r="L188" s="2"/>
      <x:c r="M188" s="2"/>
      <x:c r="N188" s="2"/>
      <x:c r="O188" s="2"/>
    </x:row>
    <x:row r="189" ht="22" customHeight="1">
      <x:c r="A189" s="2"/>
      <x:c r="B189" s="2"/>
      <x:c r="C189" s="2"/>
      <x:c r="D189" s="2"/>
      <x:c r="E189" s="4"/>
      <x:c r="F189" s="4"/>
      <x:c r="G189" s="4"/>
      <x:c r="H189" s="4"/>
      <x:c r="I189" s="4"/>
      <x:c r="J189" s="4"/>
      <x:c r="K189" s="4"/>
      <x:c r="L189" s="2"/>
      <x:c r="M189" s="2"/>
      <x:c r="N189" s="2"/>
      <x:c r="O189" s="2"/>
    </x:row>
    <x:row r="190" ht="22" customHeight="1">
      <x:c r="A190" s="2"/>
      <x:c r="B190" s="2"/>
      <x:c r="C190" s="2" t="str">
        <x:v>Gross margin</x:v>
      </x:c>
      <x:c r="D190" s="2" t="str">
        <x:v>%</x:v>
      </x:c>
      <x:c r="E190" s="44" t="n">
        <x:f>E188/E185</x:f>
        <x:v>0.45082162735223963</x:v>
      </x:c>
      <x:c r="F190" s="44" t="n">
        <x:f>F188/F185</x:f>
        <x:v>0.4501188951893177</x:v>
      </x:c>
      <x:c r="G190" s="45" t="n">
        <x:f>IF(ISNUMBER('Assumptions'!G18),'Assumptions'!G18,NA())</x:f>
        <x:v>0.448</x:v>
      </x:c>
      <x:c r="H190" s="45" t="n">
        <x:f>IF(ISNUMBER('Assumptions'!H18),'Assumptions'!H18,NA())</x:f>
        <x:v>0.449</x:v>
      </x:c>
      <x:c r="I190" s="45" t="n">
        <x:f>IF(ISNUMBER('Assumptions'!I18),'Assumptions'!I18,NA())</x:f>
        <x:v>0.45</x:v>
      </x:c>
      <x:c r="J190" s="45" t="n">
        <x:f>IF(ISNUMBER('Assumptions'!J18),'Assumptions'!J18,NA())</x:f>
        <x:v>0.4505</x:v>
      </x:c>
      <x:c r="K190" s="45" t="n">
        <x:f>IF(ISNUMBER('Assumptions'!K18),'Assumptions'!K18,NA())</x:f>
        <x:v>0.451</x:v>
      </x:c>
      <x:c r="L190" s="2"/>
      <x:c r="M190" s="2"/>
      <x:c r="N190" s="2"/>
      <x:c r="O190" s="2"/>
    </x:row>
    <x:row r="191" ht="22" customHeight="1">
      <x:c r="A191" s="2"/>
      <x:c r="B191" s="2"/>
      <x:c r="C191" s="2" t="str">
        <x:v>SG&amp;A</x:v>
      </x:c>
      <x:c r="D191" s="2" t="str">
        <x:v>$m</x:v>
      </x:c>
      <x:c r="E191" s="39" t="n">
        <x:f>'Sources'!E11</x:f>
        <x:v>1891.9</x:v>
      </x:c>
      <x:c r="F191" s="39" t="n">
        <x:f>'Sources'!F11</x:f>
        <x:v>2035.5</x:v>
      </x:c>
      <x:c r="G191" s="4" t="n">
        <x:f>G185*G192</x:f>
        <x:v>2244.4768499999996</x:v>
      </x:c>
      <x:c r="H191" s="4" t="n">
        <x:f>H185*H192</x:f>
        <x:v>2482.97609175</x:v>
      </x:c>
      <x:c r="I191" s="4" t="n">
        <x:f>I185*I192</x:f>
        <x:v>2733.1918798799998</x:v>
      </x:c>
      <x:c r="J191" s="4" t="n">
        <x:f>J185*J192</x:f>
        <x:v>2980.8500960700003</x:v>
      </x:c>
      <x:c r="K191" s="4" t="n">
        <x:f>K185*K192</x:f>
        <x:v>3235.2159709346406</x:v>
      </x:c>
      <x:c r="L191" s="2"/>
      <x:c r="M191" s="2"/>
      <x:c r="N191" s="2"/>
      <x:c r="O191" s="2"/>
    </x:row>
    <x:row r="192" ht="22" customHeight="1">
      <x:c r="A192" s="2"/>
      <x:c r="B192" s="2"/>
      <x:c r="C192" s="2" t="str">
        <x:v>SG&amp;A / revenue</x:v>
      </x:c>
      <x:c r="D192" s="2" t="str">
        <x:v>%</x:v>
      </x:c>
      <x:c r="E192" s="44" t="n">
        <x:f>E191/E185</x:f>
        <x:v>0.2507156109196926</x:v>
      </x:c>
      <x:c r="F192" s="44" t="n">
        <x:f>F191/F185</x:f>
        <x:v>0.24821657216023413</x:v>
      </x:c>
      <x:c r="G192" s="45" t="n">
        <x:f>IF(ISNUMBER('Assumptions'!G24),'Assumptions'!G24,NA())</x:f>
        <x:v>0.238</x:v>
      </x:c>
      <x:c r="H192" s="45" t="n">
        <x:f>IF(ISNUMBER('Assumptions'!H24),'Assumptions'!H24,NA())</x:f>
        <x:v>0.233</x:v>
      </x:c>
      <x:c r="I192" s="45" t="n">
        <x:f>IF(ISNUMBER('Assumptions'!I24),'Assumptions'!I24,NA())</x:f>
        <x:v>0.229</x:v>
      </x:c>
      <x:c r="J192" s="45" t="n">
        <x:f>IF(ISNUMBER('Assumptions'!J24),'Assumptions'!J24,NA())</x:f>
        <x:v>0.225</x:v>
      </x:c>
      <x:c r="K192" s="45" t="n">
        <x:f>IF(ISNUMBER('Assumptions'!K24),'Assumptions'!K24,NA())</x:f>
        <x:v>0.222</x:v>
      </x:c>
      <x:c r="L192" s="2"/>
      <x:c r="M192" s="2"/>
      <x:c r="N192" s="2"/>
      <x:c r="O192" s="2"/>
    </x:row>
    <x:row r="193" ht="22" customHeight="1">
      <x:c r="A193" s="2"/>
      <x:c r="B193" s="2"/>
      <x:c r="C193" s="49" t="str">
        <x:v>Operating income</x:v>
      </x:c>
      <x:c r="D193" s="49" t="str">
        <x:v>$m</x:v>
      </x:c>
      <x:c r="E193" s="50" t="n">
        <x:f>'Sources'!E12</x:f>
        <x:v>1510</x:v>
      </x:c>
      <x:c r="F193" s="50" t="n">
        <x:f>'Sources'!F12</x:f>
        <x:v>1655.7</x:v>
      </x:c>
      <x:c r="G193" s="51" t="n">
        <x:f>G188-G191</x:f>
        <x:v>1980.4207499999998</x:v>
      </x:c>
      <x:c r="H193" s="51" t="n">
        <x:f>H188-H191</x:f>
        <x:v>2301.814745999999</x:v>
      </x:c>
      <x:c r="I193" s="51" t="n">
        <x:f>I188-I191</x:f>
        <x:v>2637.7091941199997</x:v>
      </x:c>
      <x:c r="J193" s="51" t="n">
        <x:f>J188-J191</x:f>
        <x:v>2987.4742073946</x:v>
      </x:c>
      <x:c r="K193" s="51" t="n">
        <x:f>K188-K191</x:f>
        <x:v>3337.2272853334807</x:v>
      </x:c>
      <x:c r="L193" s="2"/>
      <x:c r="M193" s="2"/>
      <x:c r="N193" s="2"/>
      <x:c r="O193" s="2"/>
    </x:row>
    <x:row r="194" ht="22" customHeight="1">
      <x:c r="A194" s="2"/>
      <x:c r="B194" s="2"/>
      <x:c r="C194" s="2" t="str">
        <x:v>Net interest income / (expense)</x:v>
      </x:c>
      <x:c r="D194" s="2" t="str">
        <x:v>$m</x:v>
      </x:c>
      <x:c r="E194" s="39" t="n">
        <x:f>'Sources'!E13-'Sources'!E14</x:f>
        <x:v>-1.8999999999999995</x:v>
      </x:c>
      <x:c r="F194" s="39" t="n">
        <x:f>'Sources'!F13-'Sources'!F14</x:f>
        <x:v>-0.7000000000000002</x:v>
      </x:c>
      <x:c r="G194" s="39" t="n">
        <x:f>IF(ISNUMBER('Assumptions'!G84),'Assumptions'!G84,NA())</x:f>
        <x:v>0</x:v>
      </x:c>
      <x:c r="H194" s="39" t="n">
        <x:f>IF(ISNUMBER('Assumptions'!H84),'Assumptions'!H84,NA())</x:f>
        <x:v>0</x:v>
      </x:c>
      <x:c r="I194" s="39" t="n">
        <x:f>IF(ISNUMBER('Assumptions'!I84),'Assumptions'!I84,NA())</x:f>
        <x:v>0</x:v>
      </x:c>
      <x:c r="J194" s="39" t="n">
        <x:f>IF(ISNUMBER('Assumptions'!J84),'Assumptions'!J84,NA())</x:f>
        <x:v>0</x:v>
      </x:c>
      <x:c r="K194" s="39" t="n">
        <x:f>IF(ISNUMBER('Assumptions'!K84),'Assumptions'!K84,NA())</x:f>
        <x:v>0</x:v>
      </x:c>
      <x:c r="L194" s="2"/>
      <x:c r="M194" s="2"/>
      <x:c r="N194" s="2"/>
      <x:c r="O194" s="2"/>
    </x:row>
    <x:row r="195" ht="22" customHeight="1">
      <x:c r="A195" s="2"/>
      <x:c r="B195" s="2"/>
      <x:c r="C195" s="2" t="str">
        <x:v>Income before taxes</x:v>
      </x:c>
      <x:c r="D195" s="2" t="str">
        <x:v>$m</x:v>
      </x:c>
      <x:c r="E195" s="39" t="n">
        <x:f>'Sources'!E15</x:f>
        <x:v>1508.1</x:v>
      </x:c>
      <x:c r="F195" s="39" t="n">
        <x:f>'Sources'!F15</x:f>
        <x:v>1655</x:v>
      </x:c>
      <x:c r="G195" s="4" t="n">
        <x:f>SUM(G193:G194)</x:f>
        <x:v>1980.4207499999998</x:v>
      </x:c>
      <x:c r="H195" s="4" t="n">
        <x:f>SUM(H193:H194)</x:f>
        <x:v>2301.814745999999</x:v>
      </x:c>
      <x:c r="I195" s="4" t="n">
        <x:f>SUM(I193:I194)</x:f>
        <x:v>2637.7091941199997</x:v>
      </x:c>
      <x:c r="J195" s="4" t="n">
        <x:f>SUM(J193:J194)</x:f>
        <x:v>2987.4742073946</x:v>
      </x:c>
      <x:c r="K195" s="4" t="n">
        <x:f>SUM(K193:K194)</x:f>
        <x:v>3337.2272853334807</x:v>
      </x:c>
      <x:c r="L195" s="2"/>
      <x:c r="M195" s="2"/>
      <x:c r="N195" s="2"/>
      <x:c r="O195" s="2"/>
    </x:row>
    <x:row r="196" ht="22" customHeight="1">
      <x:c r="A196" s="2"/>
      <x:c r="B196" s="2"/>
      <x:c r="C196" s="2" t="str">
        <x:v>Income tax expense</x:v>
      </x:c>
      <x:c r="D196" s="2" t="str">
        <x:v>$m</x:v>
      </x:c>
      <x:c r="E196" s="39" t="n">
        <x:f>'Sources'!E16</x:f>
        <x:v>357.5</x:v>
      </x:c>
      <x:c r="F196" s="39" t="n">
        <x:f>'Sources'!F16</x:f>
        <x:v>396.6</x:v>
      </x:c>
      <x:c r="G196" s="4" t="n">
        <x:f>G195*G198</x:f>
        <x:v>487.1835044999999</x:v>
      </x:c>
      <x:c r="H196" s="4" t="n">
        <x:f>H195*H198</x:f>
        <x:v>566.2464275159998</x:v>
      </x:c>
      <x:c r="I196" s="4" t="n">
        <x:f>I195*I198</x:f>
        <x:v>648.87646175352</x:v>
      </x:c>
      <x:c r="J196" s="4" t="n">
        <x:f>J195*J198</x:f>
        <x:v>734.9186550190716</x:v>
      </x:c>
      <x:c r="K196" s="4" t="n">
        <x:f>K195*K198</x:f>
        <x:v>820.9579121920362</x:v>
      </x:c>
      <x:c r="L196" s="2"/>
      <x:c r="M196" s="2"/>
      <x:c r="N196" s="2"/>
      <x:c r="O196" s="2"/>
    </x:row>
    <x:row r="197" ht="22" customHeight="1">
      <x:c r="A197" s="2"/>
      <x:c r="B197" s="2"/>
      <x:c r="C197" s="49" t="str">
        <x:v>Net income</x:v>
      </x:c>
      <x:c r="D197" s="49" t="str">
        <x:v>$m</x:v>
      </x:c>
      <x:c r="E197" s="50" t="n">
        <x:f>'Sources'!E17</x:f>
        <x:v>1150.6</x:v>
      </x:c>
      <x:c r="F197" s="50" t="n">
        <x:f>'Sources'!F17</x:f>
        <x:v>1258.4</x:v>
      </x:c>
      <x:c r="G197" s="51" t="n">
        <x:f>G195-G196</x:f>
        <x:v>1493.2372455</x:v>
      </x:c>
      <x:c r="H197" s="51" t="n">
        <x:f>H195-H196</x:f>
        <x:v>1735.5683184839993</x:v>
      </x:c>
      <x:c r="I197" s="51" t="n">
        <x:f>I195-I196</x:f>
        <x:v>1988.8327323664798</x:v>
      </x:c>
      <x:c r="J197" s="51" t="n">
        <x:f>J195-J196</x:f>
        <x:v>2252.5555523755284</x:v>
      </x:c>
      <x:c r="K197" s="51" t="n">
        <x:f>K195-K196</x:f>
        <x:v>2516.2693731414447</x:v>
      </x:c>
      <x:c r="L197" s="2"/>
      <x:c r="M197" s="2"/>
      <x:c r="N197" s="2"/>
      <x:c r="O197" s="2"/>
    </x:row>
    <x:row r="198" ht="22" customHeight="1">
      <x:c r="A198" s="2"/>
      <x:c r="B198" s="2"/>
      <x:c r="C198" s="2" t="str">
        <x:v>Effective tax rate</x:v>
      </x:c>
      <x:c r="D198" s="2" t="str">
        <x:v>%</x:v>
      </x:c>
      <x:c r="E198" s="44" t="n">
        <x:f>E196/E195</x:f>
        <x:v>0.23705324580598106</x:v>
      </x:c>
      <x:c r="F198" s="44" t="n">
        <x:f>F196/F195</x:f>
        <x:v>0.23963746223564955</x:v>
      </x:c>
      <x:c r="G198" s="45" t="n">
        <x:f>IF(ISNUMBER('Assumptions'!G30),'Assumptions'!G30,NA())</x:f>
        <x:v>0.246</x:v>
      </x:c>
      <x:c r="H198" s="45" t="n">
        <x:f>IF(ISNUMBER('Assumptions'!H30),'Assumptions'!H30,NA())</x:f>
        <x:v>0.246</x:v>
      </x:c>
      <x:c r="I198" s="45" t="n">
        <x:f>IF(ISNUMBER('Assumptions'!I30),'Assumptions'!I30,NA())</x:f>
        <x:v>0.246</x:v>
      </x:c>
      <x:c r="J198" s="45" t="n">
        <x:f>IF(ISNUMBER('Assumptions'!J30),'Assumptions'!J30,NA())</x:f>
        <x:v>0.246</x:v>
      </x:c>
      <x:c r="K198" s="45" t="n">
        <x:f>IF(ISNUMBER('Assumptions'!K30),'Assumptions'!K30,NA())</x:f>
        <x:v>0.246</x:v>
      </x:c>
      <x:c r="L198" s="2"/>
      <x:c r="M198" s="2"/>
      <x:c r="N198" s="2"/>
      <x:c r="O198" s="2"/>
    </x:row>
    <x:row r="199" ht="22" customHeight="1">
      <x:c r="A199" s="2"/>
      <x:c r="B199" s="2"/>
      <x:c r="C199" s="2" t="str">
        <x:v>Diluted weighted-average shares</x:v>
      </x:c>
      <x:c r="D199" s="2" t="str">
        <x:v>m</x:v>
      </x:c>
      <x:c r="E199" s="39" t="n">
        <x:f>'Sources'!E18</x:f>
        <x:v>1148.6</x:v>
      </x:c>
      <x:c r="F199" s="39" t="n">
        <x:f>'Sources'!F18</x:f>
        <x:v>1150.3</x:v>
      </x:c>
      <x:c r="G199" s="39" t="n">
        <x:f>IF(ISNUMBER('Assumptions'!G90),'Assumptions'!G90,NA())</x:f>
        <x:v>1150.6</x:v>
      </x:c>
      <x:c r="H199" s="39" t="n">
        <x:f>IF(ISNUMBER('Assumptions'!H90),'Assumptions'!H90,NA())</x:f>
        <x:v>1150.6</x:v>
      </x:c>
      <x:c r="I199" s="39" t="n">
        <x:f>IF(ISNUMBER('Assumptions'!I90),'Assumptions'!I90,NA())</x:f>
        <x:v>1150.6</x:v>
      </x:c>
      <x:c r="J199" s="39" t="n">
        <x:f>IF(ISNUMBER('Assumptions'!J90),'Assumptions'!J90,NA())</x:f>
        <x:v>1150.6</x:v>
      </x:c>
      <x:c r="K199" s="39" t="n">
        <x:f>IF(ISNUMBER('Assumptions'!K90),'Assumptions'!K90,NA())</x:f>
        <x:v>1150.6</x:v>
      </x:c>
      <x:c r="L199" s="2"/>
      <x:c r="M199" s="2"/>
      <x:c r="N199" s="2"/>
      <x:c r="O199" s="2"/>
    </x:row>
    <x:row r="200" ht="22" customHeight="1">
      <x:c r="A200" s="2"/>
      <x:c r="B200" s="2"/>
      <x:c r="C200" s="49" t="str">
        <x:v>Diluted EPS</x:v>
      </x:c>
      <x:c r="D200" s="49" t="str">
        <x:v>$/share</x:v>
      </x:c>
      <x:c r="E200" s="54" t="n">
        <x:f>'Sources'!E19</x:f>
        <x:v>1</x:v>
      </x:c>
      <x:c r="F200" s="54" t="n">
        <x:f>'Sources'!F19</x:f>
        <x:v>1.09</x:v>
      </x:c>
      <x:c r="G200" s="55" t="n">
        <x:f>G197/G199</x:f>
        <x:v>1.2977900621414915</x:v>
      </x:c>
      <x:c r="H200" s="55" t="n">
        <x:f>H197/H199</x:f>
        <x:v>1.5084028493690245</x:v>
      </x:c>
      <x:c r="I200" s="55" t="n">
        <x:f>I197/I199</x:f>
        <x:v>1.7285179318325048</x:v>
      </x:c>
      <x:c r="J200" s="55" t="n">
        <x:f>J197/J199</x:f>
        <x:v>1.957722538132738</x:v>
      </x:c>
      <x:c r="K200" s="55" t="n">
        <x:f>K197/K199</x:f>
        <x:v>2.1869193230848643</x:v>
      </x:c>
      <x:c r="L200" s="2"/>
      <x:c r="M200" s="2"/>
      <x:c r="N200" s="2"/>
      <x:c r="O200" s="2"/>
    </x:row>
    <x:row r="201" ht="22" customHeight="1">
      <x:c r="A201" s="2"/>
      <x:c r="B201" s="2"/>
      <x:c r="C201" s="2" t="str">
        <x:v>Operating margin</x:v>
      </x:c>
      <x:c r="D201" s="2" t="str">
        <x:v>%</x:v>
      </x:c>
      <x:c r="E201" s="44" t="n">
        <x:f>E193/E185</x:f>
        <x:v>0.20010601643254705</x:v>
      </x:c>
      <x:c r="F201" s="44" t="n">
        <x:f>F193/F185</x:f>
        <x:v>0.2019023230290836</x:v>
      </x:c>
      <x:c r="G201" s="44" t="n">
        <x:f>G193/G185</x:f>
        <x:v>0.21</x:v>
      </x:c>
      <x:c r="H201" s="44" t="n">
        <x:f>H193/H185</x:f>
        <x:v>0.21599999999999994</x:v>
      </x:c>
      <x:c r="I201" s="44" t="n">
        <x:f>I193/I185</x:f>
        <x:v>0.22099999999999997</x:v>
      </x:c>
      <x:c r="J201" s="44" t="n">
        <x:f>J193/J185</x:f>
        <x:v>0.22549999999999998</x:v>
      </x:c>
      <x:c r="K201" s="44" t="n">
        <x:f>K193/K185</x:f>
        <x:v>0.229</x:v>
      </x:c>
      <x:c r="L201" s="2"/>
      <x:c r="M201" s="2"/>
      <x:c r="N201" s="2"/>
      <x:c r="O201" s="2"/>
    </x:row>
    <x:row r="202" ht="22" customHeight="1">
      <x:c r="A202" s="2"/>
      <x:c r="B202" s="2"/>
      <x:c r="C202" s="2"/>
      <x:c r="D202" s="2"/>
      <x:c r="E202" s="4"/>
      <x:c r="F202" s="4"/>
      <x:c r="G202" s="4"/>
      <x:c r="H202" s="4"/>
      <x:c r="I202" s="4"/>
      <x:c r="J202" s="4"/>
      <x:c r="K202" s="4"/>
      <x:c r="L202" s="2"/>
      <x:c r="M202" s="2"/>
      <x:c r="N202" s="2"/>
      <x:c r="O202" s="2"/>
    </x:row>
    <x:row r="203" ht="26" customHeight="1">
      <x:c r="A203" s="2"/>
      <x:c r="B203" s="2"/>
      <x:c r="C203" s="26" t="str">
        <x:v>Working-capital build</x:v>
      </x:c>
      <x:c r="D203" s="26" t="str">
        <x:v>Working-capital build</x:v>
      </x:c>
      <x:c r="E203" s="27" t="str">
        <x:v>Working-capital build</x:v>
      </x:c>
      <x:c r="F203" s="27" t="str">
        <x:v>Working-capital build</x:v>
      </x:c>
      <x:c r="G203" s="27" t="str">
        <x:v>Working-capital build</x:v>
      </x:c>
      <x:c r="H203" s="27" t="str">
        <x:v>Working-capital build</x:v>
      </x:c>
      <x:c r="I203" s="27" t="str">
        <x:v>Working-capital build</x:v>
      </x:c>
      <x:c r="J203" s="27" t="str">
        <x:v>Working-capital build</x:v>
      </x:c>
      <x:c r="K203" s="27" t="str">
        <x:v>Working-capital build</x:v>
      </x:c>
      <x:c r="L203" s="2"/>
      <x:c r="M203" s="2"/>
      <x:c r="N203" s="2"/>
      <x:c r="O203" s="2"/>
    </x:row>
    <x:row r="204" ht="24" customHeight="1">
      <x:c r="A204" s="2"/>
      <x:c r="B204" s="2"/>
      <x:c r="C204" s="2" t="str">
        <x:v>Receivable days</x:v>
      </x:c>
      <x:c r="D204" s="2" t="str">
        <x:v>days</x:v>
      </x:c>
      <x:c r="E204" s="4" t="n">
        <x:f>E209/E185*365</x:f>
        <x:v>53.62297906175457</x:v>
      </x:c>
      <x:c r="F204" s="4" t="n">
        <x:f>F209/F185*365</x:f>
        <x:v>55.42765685019206</x:v>
      </x:c>
      <x:c r="G204" s="39" t="n">
        <x:f>IF(ISNUMBER('Assumptions'!G36),'Assumptions'!G36,NA())</x:f>
        <x:v>55</x:v>
      </x:c>
      <x:c r="H204" s="39" t="n">
        <x:f>IF(ISNUMBER('Assumptions'!H36),'Assumptions'!H36,NA())</x:f>
        <x:v>54.5</x:v>
      </x:c>
      <x:c r="I204" s="39" t="n">
        <x:f>IF(ISNUMBER('Assumptions'!I36),'Assumptions'!I36,NA())</x:f>
        <x:v>54</x:v>
      </x:c>
      <x:c r="J204" s="39" t="n">
        <x:f>IF(ISNUMBER('Assumptions'!J36),'Assumptions'!J36,NA())</x:f>
        <x:v>53.5</x:v>
      </x:c>
      <x:c r="K204" s="39" t="n">
        <x:f>IF(ISNUMBER('Assumptions'!K36),'Assumptions'!K36,NA())</x:f>
        <x:v>53</x:v>
      </x:c>
      <x:c r="L204" s="2"/>
      <x:c r="M204" s="40" t="str">
        <x:v>Days use closing balances and annual sales / COGS. The model forecasts all three working-capital balances explicitly.</x:v>
      </x:c>
      <x:c r="N204" s="40" t="str">
        <x:v>Days use closing balances and annual sales / COGS. The model forecasts all three working-capital balances explicitly.</x:v>
      </x:c>
      <x:c r="O204" s="40" t="str">
        <x:v>Days use closing balances and annual sales / COGS. The model forecasts all three working-capital balances explicitly.</x:v>
      </x:c>
    </x:row>
    <x:row r="205" ht="24" customHeight="1">
      <x:c r="A205" s="2"/>
      <x:c r="B205" s="2"/>
      <x:c r="C205" s="2" t="str">
        <x:v>Inventory days</x:v>
      </x:c>
      <x:c r="D205" s="2" t="str">
        <x:v>days</x:v>
      </x:c>
      <x:c r="E205" s="4" t="n">
        <x:f>E210/E187*365</x:f>
        <x:v>144.88670640187252</x:v>
      </x:c>
      <x:c r="F205" s="4" t="n">
        <x:f>F210/F187*365</x:f>
        <x:v>141.489809948329</x:v>
      </x:c>
      <x:c r="G205" s="39" t="n">
        <x:f>IF(ISNUMBER('Assumptions'!G42),'Assumptions'!G42,NA())</x:f>
        <x:v>138</x:v>
      </x:c>
      <x:c r="H205" s="39" t="n">
        <x:f>IF(ISNUMBER('Assumptions'!H42),'Assumptions'!H42,NA())</x:f>
        <x:v>133</x:v>
      </x:c>
      <x:c r="I205" s="39" t="n">
        <x:f>IF(ISNUMBER('Assumptions'!I42),'Assumptions'!I42,NA())</x:f>
        <x:v>128</x:v>
      </x:c>
      <x:c r="J205" s="39" t="n">
        <x:f>IF(ISNUMBER('Assumptions'!J42),'Assumptions'!J42,NA())</x:f>
        <x:v>125</x:v>
      </x:c>
      <x:c r="K205" s="39" t="n">
        <x:f>IF(ISNUMBER('Assumptions'!K42),'Assumptions'!K42,NA())</x:f>
        <x:v>122</x:v>
      </x:c>
      <x:c r="L205" s="2"/>
      <x:c r="M205" s="40" t="str">
        <x:v>Days use closing balances and annual sales / COGS. The model forecasts all three working-capital balances explicitly.</x:v>
      </x:c>
      <x:c r="N205" s="40" t="str">
        <x:v>Days use closing balances and annual sales / COGS. The model forecasts all three working-capital balances explicitly.</x:v>
      </x:c>
      <x:c r="O205" s="40" t="str">
        <x:v>Days use closing balances and annual sales / COGS. The model forecasts all three working-capital balances explicitly.</x:v>
      </x:c>
    </x:row>
    <x:row r="206" ht="24" customHeight="1">
      <x:c r="A206" s="2"/>
      <x:c r="B206" s="2"/>
      <x:c r="C206" s="2" t="str">
        <x:v>Payable days</x:v>
      </x:c>
      <x:c r="D206" s="2" t="str">
        <x:v>days</x:v>
      </x:c>
      <x:c r="E206" s="4" t="n">
        <x:f>E211/E187*365</x:f>
        <x:v>25.339760140923236</x:v>
      </x:c>
      <x:c r="F206" s="4" t="n">
        <x:f>F211/F187*365</x:f>
        <x:v>25.64300445745459</x:v>
      </x:c>
      <x:c r="G206" s="39" t="n">
        <x:f>IF(ISNUMBER('Assumptions'!G48),'Assumptions'!G48,NA())</x:f>
        <x:v>29</x:v>
      </x:c>
      <x:c r="H206" s="39" t="n">
        <x:f>IF(ISNUMBER('Assumptions'!H48),'Assumptions'!H48,NA())</x:f>
        <x:v>30</x:v>
      </x:c>
      <x:c r="I206" s="39" t="n">
        <x:f>IF(ISNUMBER('Assumptions'!I48),'Assumptions'!I48,NA())</x:f>
        <x:v>31</x:v>
      </x:c>
      <x:c r="J206" s="39" t="n">
        <x:f>IF(ISNUMBER('Assumptions'!J48),'Assumptions'!J48,NA())</x:f>
        <x:v>32</x:v>
      </x:c>
      <x:c r="K206" s="39" t="n">
        <x:f>IF(ISNUMBER('Assumptions'!K48),'Assumptions'!K48,NA())</x:f>
        <x:v>33</x:v>
      </x:c>
      <x:c r="L206" s="2"/>
      <x:c r="M206" s="40" t="str">
        <x:v>Days use closing balances and annual sales / COGS. The model forecasts all three working-capital balances explicitly.</x:v>
      </x:c>
      <x:c r="N206" s="40" t="str">
        <x:v>Days use closing balances and annual sales / COGS. The model forecasts all three working-capital balances explicitly.</x:v>
      </x:c>
      <x:c r="O206" s="40" t="str">
        <x:v>Days use closing balances and annual sales / COGS. The model forecasts all three working-capital balances explicitly.</x:v>
      </x:c>
    </x:row>
    <x:row r="207" ht="24" customHeight="1">
      <x:c r="A207" s="2"/>
      <x:c r="B207" s="2"/>
      <x:c r="C207" s="2" t="str">
        <x:v>Other operating NWC / revenue</x:v>
      </x:c>
      <x:c r="D207" s="2" t="str">
        <x:v>%</x:v>
      </x:c>
      <x:c r="E207" s="44" t="n">
        <x:f>E213/E185</x:f>
        <x:v>-0.005552610654651471</x:v>
      </x:c>
      <x:c r="F207" s="44" t="n">
        <x:f>F213/F185</x:f>
        <x:v>-0.010096945308212911</x:v>
      </x:c>
      <x:c r="G207" s="45" t="n">
        <x:f>IF(ISNUMBER('Assumptions'!G54),'Assumptions'!G54,NA())</x:f>
        <x:v>-0.011</x:v>
      </x:c>
      <x:c r="H207" s="45" t="n">
        <x:f>IF(ISNUMBER('Assumptions'!H54),'Assumptions'!H54,NA())</x:f>
        <x:v>-0.011</x:v>
      </x:c>
      <x:c r="I207" s="45" t="n">
        <x:f>IF(ISNUMBER('Assumptions'!I54),'Assumptions'!I54,NA())</x:f>
        <x:v>-0.011</x:v>
      </x:c>
      <x:c r="J207" s="45" t="n">
        <x:f>IF(ISNUMBER('Assumptions'!J54),'Assumptions'!J54,NA())</x:f>
        <x:v>-0.011</x:v>
      </x:c>
      <x:c r="K207" s="45" t="n">
        <x:f>IF(ISNUMBER('Assumptions'!K54),'Assumptions'!K54,NA())</x:f>
        <x:v>-0.011</x:v>
      </x:c>
      <x:c r="L207" s="2"/>
      <x:c r="M207" s="40" t="str">
        <x:v>Days use closing balances and annual sales / COGS. The model forecasts all three working-capital balances explicitly.</x:v>
      </x:c>
      <x:c r="N207" s="40" t="str">
        <x:v>Days use closing balances and annual sales / COGS. The model forecasts all three working-capital balances explicitly.</x:v>
      </x:c>
      <x:c r="O207" s="40" t="str">
        <x:v>Days use closing balances and annual sales / COGS. The model forecasts all three working-capital balances explicitly.</x:v>
      </x:c>
    </x:row>
    <x:row r="208" ht="22" customHeight="1">
      <x:c r="A208" s="2"/>
      <x:c r="B208" s="2"/>
      <x:c r="C208" s="2"/>
      <x:c r="D208" s="2"/>
      <x:c r="E208" s="4"/>
      <x:c r="F208" s="4"/>
      <x:c r="G208" s="4"/>
      <x:c r="H208" s="4"/>
      <x:c r="I208" s="4"/>
      <x:c r="J208" s="4"/>
      <x:c r="K208" s="4"/>
      <x:c r="L208" s="2"/>
      <x:c r="M208" s="2"/>
      <x:c r="N208" s="2"/>
      <x:c r="O208" s="2"/>
    </x:row>
    <x:row r="209" ht="22" customHeight="1">
      <x:c r="A209" s="2"/>
      <x:c r="B209" s="2"/>
      <x:c r="C209" s="2" t="str">
        <x:v>Trade receivables</x:v>
      </x:c>
      <x:c r="D209" s="2" t="str">
        <x:v>$m</x:v>
      </x:c>
      <x:c r="E209" s="39" t="n">
        <x:f>'Sources'!E22</x:f>
        <x:v>1108.6</x:v>
      </x:c>
      <x:c r="F209" s="39" t="n">
        <x:f>'Sources'!F22</x:f>
        <x:v>1245.3</x:v>
      </x:c>
      <x:c r="G209" s="4" t="n">
        <x:f>G185*G204/365</x:f>
        <x:v>1421.0455479452053</x:v>
      </x:c>
      <x:c r="H209" s="4" t="n">
        <x:f>H185*H204/365</x:f>
        <x:v>1591.1834558219177</x:v>
      </x:c>
      <x:c r="I209" s="4" t="n">
        <x:f>I185*I204/365</x:f>
        <x:v>1765.7756955616437</x:v>
      </x:c>
      <x:c r="J209" s="4" t="n">
        <x:f>J185*J204/365</x:f>
        <x:v>1941.8627718690414</x:v>
      </x:c>
      <x:c r="K209" s="4" t="n">
        <x:f>K185*K204/365</x:f>
        <x:v>2116.0859738311237</x:v>
      </x:c>
      <x:c r="L209" s="2"/>
      <x:c r="M209" s="2"/>
      <x:c r="N209" s="2"/>
      <x:c r="O209" s="2"/>
    </x:row>
    <x:row r="210" ht="22" customHeight="1">
      <x:c r="A210" s="2"/>
      <x:c r="B210" s="2"/>
      <x:c r="C210" s="2" t="str">
        <x:v>Inventory</x:v>
      </x:c>
      <x:c r="D210" s="2" t="str">
        <x:v>$m</x:v>
      </x:c>
      <x:c r="E210" s="39" t="n">
        <x:f>'Sources'!E23</x:f>
        <x:v>1645</x:v>
      </x:c>
      <x:c r="F210" s="39" t="n">
        <x:f>'Sources'!F23</x:f>
        <x:v>1748</x:v>
      </x:c>
      <x:c r="G210" s="4" t="n">
        <x:f>G187*G205/365</x:f>
        <x:v>1968.1739210958901</x:v>
      </x:c>
      <x:c r="H210" s="4" t="n">
        <x:f>H187*H205/365</x:f>
        <x:v>2139.5724255595887</x:v>
      </x:c>
      <x:c r="I210" s="4" t="n">
        <x:f>I187*I205/365</x:f>
        <x:v>2302.0483142136986</x:v>
      </x:c>
      <x:c r="J210" s="4" t="n">
        <x:f>J187*J205/365</x:f>
        <x:v>2493.115871827192</x:v>
      </x:c>
      <x:c r="K210" s="4" t="n">
        <x:f>K187*K205/365</x:f>
        <x:v>2674.173704816245</x:v>
      </x:c>
      <x:c r="L210" s="2"/>
      <x:c r="M210" s="2"/>
      <x:c r="N210" s="2"/>
      <x:c r="O210" s="2"/>
    </x:row>
    <x:row r="211" ht="22" customHeight="1">
      <x:c r="A211" s="2"/>
      <x:c r="B211" s="2"/>
      <x:c r="C211" s="2" t="str">
        <x:v>Accounts payable</x:v>
      </x:c>
      <x:c r="D211" s="2" t="str">
        <x:v>$m</x:v>
      </x:c>
      <x:c r="E211" s="39" t="n">
        <x:f>'Sources'!E24</x:f>
        <x:v>287.7</x:v>
      </x:c>
      <x:c r="F211" s="39" t="n">
        <x:f>'Sources'!F24</x:f>
        <x:v>316.8</x:v>
      </x:c>
      <x:c r="G211" s="4" t="n">
        <x:f>G187*G206/365</x:f>
        <x:v>413.6017660273973</x:v>
      </x:c>
      <x:c r="H211" s="4" t="n">
        <x:f>H187*H206/365</x:f>
        <x:v>482.6103215547945</x:v>
      </x:c>
      <x:c r="I211" s="4" t="n">
        <x:f>I187*I206/365</x:f>
        <x:v>557.52732609863</x:v>
      </x:c>
      <x:c r="J211" s="4" t="n">
        <x:f>J187*J206/365</x:f>
        <x:v>638.2376631877612</x:v>
      </x:c>
      <x:c r="K211" s="4" t="n">
        <x:f>K187*K206/365</x:f>
        <x:v>723.3420676961975</x:v>
      </x:c>
      <x:c r="L211" s="2"/>
      <x:c r="M211" s="2"/>
      <x:c r="N211" s="2"/>
      <x:c r="O211" s="2"/>
    </x:row>
    <x:row r="212" ht="22" customHeight="1">
      <x:c r="A212" s="2"/>
      <x:c r="B212" s="2"/>
      <x:c r="C212" s="2" t="str">
        <x:v>Trade working capital</x:v>
      </x:c>
      <x:c r="D212" s="2" t="str">
        <x:v>$m</x:v>
      </x:c>
      <x:c r="E212" s="4" t="n">
        <x:f>SUM(E209:E210)-E211</x:f>
        <x:v>2465.9</x:v>
      </x:c>
      <x:c r="F212" s="4" t="n">
        <x:f>SUM(F209:F210)-F211</x:f>
        <x:v>2676.5</x:v>
      </x:c>
      <x:c r="G212" s="4" t="n">
        <x:f>SUM(G209:G210)-G211</x:f>
        <x:v>2975.617703013698</x:v>
      </x:c>
      <x:c r="H212" s="4" t="n">
        <x:f>SUM(H209:H210)-H211</x:f>
        <x:v>3248.145559826712</x:v>
      </x:c>
      <x:c r="I212" s="4" t="n">
        <x:f>SUM(I209:I210)-I211</x:f>
        <x:v>3510.2966836767123</x:v>
      </x:c>
      <x:c r="J212" s="4" t="n">
        <x:f>SUM(J209:J210)-J211</x:f>
        <x:v>3796.7409805084717</x:v>
      </x:c>
      <x:c r="K212" s="4" t="n">
        <x:f>SUM(K209:K210)-K211</x:f>
        <x:v>4066.917610951171</x:v>
      </x:c>
      <x:c r="L212" s="2"/>
      <x:c r="M212" s="2"/>
      <x:c r="N212" s="2"/>
      <x:c r="O212" s="2"/>
    </x:row>
    <x:row r="213" ht="22" customHeight="1">
      <x:c r="A213" s="2"/>
      <x:c r="B213" s="2"/>
      <x:c r="C213" s="2" t="str">
        <x:v>Other operating working capital</x:v>
      </x:c>
      <x:c r="D213" s="2" t="str">
        <x:v>$m</x:v>
      </x:c>
      <x:c r="E213" s="39" t="n">
        <x:f>'Sources'!E25-'Sources'!E26</x:f>
        <x:v>-41.900000000000006</x:v>
      </x:c>
      <x:c r="F213" s="39" t="n">
        <x:f>'Sources'!F25-'Sources'!F26</x:f>
        <x:v>-82.79999999999998</x:v>
      </x:c>
      <x:c r="G213" s="4" t="n">
        <x:f>G185*G207</x:f>
        <x:v>-103.73632499999998</x:v>
      </x:c>
      <x:c r="H213" s="4" t="n">
        <x:f>H185*H207</x:f>
        <x:v>-117.22204724999997</x:v>
      </x:c>
      <x:c r="I213" s="4" t="n">
        <x:f>I185*I207</x:f>
        <x:v>-131.28869292</x:v>
      </x:c>
      <x:c r="J213" s="4" t="n">
        <x:f>J185*J207</x:f>
        <x:v>-145.7304491412</x:v>
      </x:c>
      <x:c r="K213" s="4" t="n">
        <x:f>K185*K207</x:f>
        <x:v>-160.30349405532002</x:v>
      </x:c>
      <x:c r="L213" s="2"/>
      <x:c r="M213" s="2"/>
      <x:c r="N213" s="2"/>
      <x:c r="O213" s="2"/>
    </x:row>
    <x:row r="214" ht="22" customHeight="1">
      <x:c r="A214" s="2"/>
      <x:c r="B214" s="2"/>
      <x:c r="C214" s="49" t="str">
        <x:v>Operating working capital</x:v>
      </x:c>
      <x:c r="D214" s="49" t="str">
        <x:v>$m</x:v>
      </x:c>
      <x:c r="E214" s="51" t="n">
        <x:f>SUM(E212:E213)</x:f>
        <x:v>2424</x:v>
      </x:c>
      <x:c r="F214" s="51" t="n">
        <x:f>SUM(F212:F213)</x:f>
        <x:v>2593.7</x:v>
      </x:c>
      <x:c r="G214" s="51" t="n">
        <x:f>SUM(G212:G213)</x:f>
        <x:v>2871.881378013698</x:v>
      </x:c>
      <x:c r="H214" s="51" t="n">
        <x:f>SUM(H212:H213)</x:f>
        <x:v>3130.9235125767123</x:v>
      </x:c>
      <x:c r="I214" s="51" t="n">
        <x:f>SUM(I212:I213)</x:f>
        <x:v>3379.0079907567124</x:v>
      </x:c>
      <x:c r="J214" s="51" t="n">
        <x:f>SUM(J212:J213)</x:f>
        <x:v>3651.0105313672716</x:v>
      </x:c>
      <x:c r="K214" s="51" t="n">
        <x:f>SUM(K212:K213)</x:f>
        <x:v>3906.614116895851</x:v>
      </x:c>
      <x:c r="L214" s="2"/>
      <x:c r="M214" s="2"/>
      <x:c r="N214" s="2"/>
      <x:c r="O214" s="2"/>
    </x:row>
    <x:row r="215" ht="22" customHeight="1">
      <x:c r="A215" s="2"/>
      <x:c r="B215" s="2"/>
      <x:c r="C215" s="2" t="str">
        <x:v>Opening operating working capital</x:v>
      </x:c>
      <x:c r="D215" s="2" t="str">
        <x:v>$m</x:v>
      </x:c>
      <x:c r="E215" s="4"/>
      <x:c r="F215" s="4" t="n">
        <x:f>E214</x:f>
        <x:v>2424</x:v>
      </x:c>
      <x:c r="G215" s="4" t="n">
        <x:f>F214</x:f>
        <x:v>2593.7</x:v>
      </x:c>
      <x:c r="H215" s="4" t="n">
        <x:f>G214</x:f>
        <x:v>2871.881378013698</x:v>
      </x:c>
      <x:c r="I215" s="4" t="n">
        <x:f>H214</x:f>
        <x:v>3130.9235125767123</x:v>
      </x:c>
      <x:c r="J215" s="4" t="n">
        <x:f>I214</x:f>
        <x:v>3379.0079907567124</x:v>
      </x:c>
      <x:c r="K215" s="4" t="n">
        <x:f>J214</x:f>
        <x:v>3651.0105313672716</x:v>
      </x:c>
      <x:c r="L215" s="2"/>
      <x:c r="M215" s="2"/>
      <x:c r="N215" s="2"/>
      <x:c r="O215" s="2"/>
    </x:row>
    <x:row r="216" ht="22" customHeight="1">
      <x:c r="A216" s="2"/>
      <x:c r="B216" s="2"/>
      <x:c r="C216" s="2" t="str">
        <x:v>Increase / (release) in NWC</x:v>
      </x:c>
      <x:c r="D216" s="2" t="str">
        <x:v>$m</x:v>
      </x:c>
      <x:c r="E216" s="4"/>
      <x:c r="F216" s="4" t="n">
        <x:f>F214-F215</x:f>
        <x:v>169.69999999999982</x:v>
      </x:c>
      <x:c r="G216" s="4" t="n">
        <x:f>G214-G215</x:f>
        <x:v>278.1813780136981</x:v>
      </x:c>
      <x:c r="H216" s="4" t="n">
        <x:f>H214-H215</x:f>
        <x:v>259.0421345630143</x:v>
      </x:c>
      <x:c r="I216" s="4" t="n">
        <x:f>I214-I215</x:f>
        <x:v>248.08447818000013</x:v>
      </x:c>
      <x:c r="J216" s="4" t="n">
        <x:f>J214-J215</x:f>
        <x:v>272.0025406105592</x:v>
      </x:c>
      <x:c r="K216" s="4" t="n">
        <x:f>K214-K215</x:f>
        <x:v>255.60358552857952</x:v>
      </x:c>
      <x:c r="L216" s="2"/>
      <x:c r="M216" s="2"/>
      <x:c r="N216" s="2"/>
      <x:c r="O216" s="2"/>
    </x:row>
    <x:row r="217" ht="22" customHeight="1">
      <x:c r="A217" s="2"/>
      <x:c r="B217" s="2"/>
      <x:c r="C217" s="2"/>
      <x:c r="D217" s="2"/>
      <x:c r="E217" s="4"/>
      <x:c r="F217" s="4"/>
      <x:c r="G217" s="4"/>
      <x:c r="H217" s="4"/>
      <x:c r="I217" s="4"/>
      <x:c r="J217" s="4"/>
      <x:c r="K217" s="4"/>
      <x:c r="L217" s="2"/>
      <x:c r="M217" s="2"/>
      <x:c r="N217" s="2"/>
      <x:c r="O217" s="2"/>
    </x:row>
    <x:row r="218" ht="22" customHeight="1">
      <x:c r="A218" s="2"/>
      <x:c r="B218" s="2"/>
      <x:c r="C218" s="2"/>
      <x:c r="D218" s="2"/>
      <x:c r="E218" s="4"/>
      <x:c r="F218" s="4"/>
      <x:c r="G218" s="4"/>
      <x:c r="H218" s="4"/>
      <x:c r="I218" s="4"/>
      <x:c r="J218" s="4"/>
      <x:c r="K218" s="4"/>
      <x:c r="L218" s="2"/>
      <x:c r="M218" s="2"/>
      <x:c r="N218" s="2"/>
      <x:c r="O218" s="2"/>
    </x:row>
    <x:row r="219" ht="26" customHeight="1">
      <x:c r="A219" s="2"/>
      <x:c r="B219" s="2"/>
      <x:c r="C219" s="26" t="str">
        <x:v>Reinvestment and non-cash expenses</x:v>
      </x:c>
      <x:c r="D219" s="26" t="str">
        <x:v>Reinvestment and non-cash expenses</x:v>
      </x:c>
      <x:c r="E219" s="27" t="str">
        <x:v>Reinvestment and non-cash expenses</x:v>
      </x:c>
      <x:c r="F219" s="27" t="str">
        <x:v>Reinvestment and non-cash expenses</x:v>
      </x:c>
      <x:c r="G219" s="27" t="str">
        <x:v>Reinvestment and non-cash expenses</x:v>
      </x:c>
      <x:c r="H219" s="27" t="str">
        <x:v>Reinvestment and non-cash expenses</x:v>
      </x:c>
      <x:c r="I219" s="27" t="str">
        <x:v>Reinvestment and non-cash expenses</x:v>
      </x:c>
      <x:c r="J219" s="27" t="str">
        <x:v>Reinvestment and non-cash expenses</x:v>
      </x:c>
      <x:c r="K219" s="27" t="str">
        <x:v>Reinvestment and non-cash expenses</x:v>
      </x:c>
      <x:c r="L219" s="2"/>
      <x:c r="M219" s="2"/>
      <x:c r="N219" s="2"/>
      <x:c r="O219" s="2"/>
    </x:row>
    <x:row r="220" ht="24" customHeight="1">
      <x:c r="A220" s="2"/>
      <x:c r="B220" s="2"/>
      <x:c r="C220" s="2" t="str">
        <x:v>D&amp;A / revenue</x:v>
      </x:c>
      <x:c r="D220" s="2" t="str">
        <x:v>%</x:v>
      </x:c>
      <x:c r="E220" s="44" t="n">
        <x:f>E222/E185</x:f>
        <x:v>0.023244102835939567</x:v>
      </x:c>
      <x:c r="F220" s="44" t="n">
        <x:f>F222/F185</x:f>
        <x:v>0.02185232607767819</x:v>
      </x:c>
      <x:c r="G220" s="45" t="n">
        <x:f>IF(ISNUMBER('Assumptions'!G60),'Assumptions'!G60,NA())</x:f>
        <x:v>0.0215</x:v>
      </x:c>
      <x:c r="H220" s="45" t="n">
        <x:f>IF(ISNUMBER('Assumptions'!H60),'Assumptions'!H60,NA())</x:f>
        <x:v>0.021</x:v>
      </x:c>
      <x:c r="I220" s="45" t="n">
        <x:f>IF(ISNUMBER('Assumptions'!I60),'Assumptions'!I60,NA())</x:f>
        <x:v>0.0205</x:v>
      </x:c>
      <x:c r="J220" s="45" t="n">
        <x:f>IF(ISNUMBER('Assumptions'!J60),'Assumptions'!J60,NA())</x:f>
        <x:v>0.02</x:v>
      </x:c>
      <x:c r="K220" s="45" t="n">
        <x:f>IF(ISNUMBER('Assumptions'!K60),'Assumptions'!K60,NA())</x:f>
        <x:v>0.02</x:v>
      </x:c>
      <x:c r="L220" s="2"/>
      <x:c r="M220" s="40" t="str">
        <x:v>D&amp;A uses a revenue ratio. Other non-cash adjustments normalize to zero. The model does not forecast asset vintages, deferred tax or FX.</x:v>
      </x:c>
      <x:c r="N220" s="40" t="str">
        <x:v>D&amp;A uses a revenue ratio. Other non-cash adjustments normalize to zero. The model does not forecast asset vintages, deferred tax or FX.</x:v>
      </x:c>
      <x:c r="O220" s="40" t="str">
        <x:v>D&amp;A uses a revenue ratio. Other non-cash adjustments normalize to zero. The model does not forecast asset vintages, deferred tax or FX.</x:v>
      </x:c>
    </x:row>
    <x:row r="221" ht="24" customHeight="1">
      <x:c r="A221" s="2"/>
      <x:c r="B221" s="2"/>
      <x:c r="C221" s="2" t="str">
        <x:v>Stock compensation / revenue</x:v>
      </x:c>
      <x:c r="D221" s="2" t="str">
        <x:v>%</x:v>
      </x:c>
      <x:c r="E221" s="44" t="n">
        <x:f>E223/E185</x:f>
        <x:v>0.0010601643254704478</x:v>
      </x:c>
      <x:c r="F221" s="44" t="n">
        <x:f>F223/F185</x:f>
        <x:v>0.0010243277848911653</x:v>
      </x:c>
      <x:c r="G221" s="45" t="n">
        <x:f>IF(ISNUMBER('Assumptions'!G66),'Assumptions'!G66,NA())</x:f>
        <x:v>0.001</x:v>
      </x:c>
      <x:c r="H221" s="45" t="n">
        <x:f>IF(ISNUMBER('Assumptions'!H66),'Assumptions'!H66,NA())</x:f>
        <x:v>0.001</x:v>
      </x:c>
      <x:c r="I221" s="45" t="n">
        <x:f>IF(ISNUMBER('Assumptions'!I66),'Assumptions'!I66,NA())</x:f>
        <x:v>0.001</x:v>
      </x:c>
      <x:c r="J221" s="45" t="n">
        <x:f>IF(ISNUMBER('Assumptions'!J66),'Assumptions'!J66,NA())</x:f>
        <x:v>0.001</x:v>
      </x:c>
      <x:c r="K221" s="45" t="n">
        <x:f>IF(ISNUMBER('Assumptions'!K66),'Assumptions'!K66,NA())</x:f>
        <x:v>0.001</x:v>
      </x:c>
      <x:c r="L221" s="2"/>
      <x:c r="M221" s="40" t="str">
        <x:v>D&amp;A uses a revenue ratio. Other non-cash adjustments normalize to zero. The model does not forecast asset vintages, deferred tax or FX.</x:v>
      </x:c>
      <x:c r="N221" s="40" t="str">
        <x:v>D&amp;A uses a revenue ratio. Other non-cash adjustments normalize to zero. The model does not forecast asset vintages, deferred tax or FX.</x:v>
      </x:c>
      <x:c r="O221" s="40" t="str">
        <x:v>D&amp;A uses a revenue ratio. Other non-cash adjustments normalize to zero. The model does not forecast asset vintages, deferred tax or FX.</x:v>
      </x:c>
    </x:row>
    <x:row r="222" ht="24" customHeight="1">
      <x:c r="A222" s="2"/>
      <x:c r="B222" s="2"/>
      <x:c r="C222" s="2" t="str">
        <x:v>Depreciation and amortization</x:v>
      </x:c>
      <x:c r="D222" s="2" t="str">
        <x:v>$m</x:v>
      </x:c>
      <x:c r="E222" s="39" t="n">
        <x:f>SUM('Sources'!E29:E30)</x:f>
        <x:v>175.39999999999998</x:v>
      </x:c>
      <x:c r="F222" s="39" t="n">
        <x:f>SUM('Sources'!F29:F30)</x:f>
        <x:v>179.2</x:v>
      </x:c>
      <x:c r="G222" s="4" t="n">
        <x:f>G185*G220</x:f>
        <x:v>202.75736249999997</x:v>
      </x:c>
      <x:c r="H222" s="4" t="n">
        <x:f>H185*H220</x:f>
        <x:v>223.78754474999997</x:v>
      </x:c>
      <x:c r="I222" s="4" t="n">
        <x:f>I185*I220</x:f>
        <x:v>244.67438226</x:v>
      </x:c>
      <x:c r="J222" s="4" t="n">
        <x:f>J185*J220</x:f>
        <x:v>264.96445298400005</x:v>
      </x:c>
      <x:c r="K222" s="4" t="n">
        <x:f>K185*K220</x:f>
        <x:v>291.4608982824001</x:v>
      </x:c>
      <x:c r="L222" s="2"/>
      <x:c r="M222" s="40" t="str">
        <x:v>D&amp;A uses a revenue ratio. Other non-cash adjustments normalize to zero. The model does not forecast asset vintages, deferred tax or FX.</x:v>
      </x:c>
      <x:c r="N222" s="40" t="str">
        <x:v>D&amp;A uses a revenue ratio. Other non-cash adjustments normalize to zero. The model does not forecast asset vintages, deferred tax or FX.</x:v>
      </x:c>
      <x:c r="O222" s="40" t="str">
        <x:v>D&amp;A uses a revenue ratio. Other non-cash adjustments normalize to zero. The model does not forecast asset vintages, deferred tax or FX.</x:v>
      </x:c>
    </x:row>
    <x:row r="223" ht="24" customHeight="1">
      <x:c r="A223" s="2"/>
      <x:c r="B223" s="2"/>
      <x:c r="C223" s="2" t="str">
        <x:v>Stock-based compensation</x:v>
      </x:c>
      <x:c r="D223" s="2" t="str">
        <x:v>$m</x:v>
      </x:c>
      <x:c r="E223" s="39" t="n">
        <x:f>'Sources'!E31</x:f>
        <x:v>8</x:v>
      </x:c>
      <x:c r="F223" s="39" t="n">
        <x:f>'Sources'!F31</x:f>
        <x:v>8.4</x:v>
      </x:c>
      <x:c r="G223" s="4" t="n">
        <x:f>G185*G221</x:f>
        <x:v>9.430575</x:v>
      </x:c>
      <x:c r="H223" s="4" t="n">
        <x:f>H185*H221</x:f>
        <x:v>10.656549749999998</x:v>
      </x:c>
      <x:c r="I223" s="4" t="n">
        <x:f>I185*I221</x:f>
        <x:v>11.93533572</x:v>
      </x:c>
      <x:c r="J223" s="4" t="n">
        <x:f>J185*J221</x:f>
        <x:v>13.2482226492</x:v>
      </x:c>
      <x:c r="K223" s="4" t="n">
        <x:f>K185*K221</x:f>
        <x:v>14.573044914120002</x:v>
      </x:c>
      <x:c r="L223" s="2"/>
      <x:c r="M223" s="40" t="str">
        <x:v>D&amp;A uses a revenue ratio. Other non-cash adjustments normalize to zero. The model does not forecast asset vintages, deferred tax or FX.</x:v>
      </x:c>
      <x:c r="N223" s="40" t="str">
        <x:v>D&amp;A uses a revenue ratio. Other non-cash adjustments normalize to zero. The model does not forecast asset vintages, deferred tax or FX.</x:v>
      </x:c>
      <x:c r="O223" s="40" t="str">
        <x:v>D&amp;A uses a revenue ratio. Other non-cash adjustments normalize to zero. The model does not forecast asset vintages, deferred tax or FX.</x:v>
      </x:c>
    </x:row>
    <x:row r="224" ht="24" customHeight="1">
      <x:c r="A224" s="2"/>
      <x:c r="B224" s="2"/>
      <x:c r="C224" s="2" t="str">
        <x:v>Other non-cash adjustments</x:v>
      </x:c>
      <x:c r="D224" s="2" t="str">
        <x:v>$m</x:v>
      </x:c>
      <x:c r="E224" s="39" t="n">
        <x:f>SUM('Sources'!E32:E34)</x:f>
        <x:v>-6.6</x:v>
      </x:c>
      <x:c r="F224" s="39" t="n">
        <x:f>SUM('Sources'!F32:F34)</x:f>
        <x:v>-0.10000000000000053</x:v>
      </x:c>
      <x:c r="G224" s="4" t="n">
        <x:f>0</x:f>
        <x:v>0</x:v>
      </x:c>
      <x:c r="H224" s="4" t="n">
        <x:f>0</x:f>
        <x:v>0</x:v>
      </x:c>
      <x:c r="I224" s="4" t="n">
        <x:f>0</x:f>
        <x:v>0</x:v>
      </x:c>
      <x:c r="J224" s="4" t="n">
        <x:f>0</x:f>
        <x:v>0</x:v>
      </x:c>
      <x:c r="K224" s="4" t="n">
        <x:f>0</x:f>
        <x:v>0</x:v>
      </x:c>
      <x:c r="L224" s="2"/>
      <x:c r="M224" s="40" t="str">
        <x:v>D&amp;A uses a revenue ratio. Other non-cash adjustments normalize to zero. The model does not forecast asset vintages, deferred tax or FX.</x:v>
      </x:c>
      <x:c r="N224" s="40" t="str">
        <x:v>D&amp;A uses a revenue ratio. Other non-cash adjustments normalize to zero. The model does not forecast asset vintages, deferred tax or FX.</x:v>
      </x:c>
      <x:c r="O224" s="40" t="str">
        <x:v>D&amp;A uses a revenue ratio. Other non-cash adjustments normalize to zero. The model does not forecast asset vintages, deferred tax or FX.</x:v>
      </x:c>
    </x:row>
    <x:row r="225" ht="22" customHeight="1">
      <x:c r="A225" s="2"/>
      <x:c r="B225" s="2"/>
      <x:c r="C225" s="2" t="str">
        <x:v>Gross capex / revenue</x:v>
      </x:c>
      <x:c r="D225" s="2" t="str">
        <x:v>%</x:v>
      </x:c>
      <x:c r="E225" s="44" t="n">
        <x:f>E227/E185</x:f>
        <x:v>0.030015902464882057</x:v>
      </x:c>
      <x:c r="F225" s="44" t="n">
        <x:f>F227/F185</x:f>
        <x:v>0.029912810194500337</x:v>
      </x:c>
      <x:c r="G225" s="45" t="n">
        <x:f>IF(ISNUMBER('Assumptions'!G72),'Assumptions'!G72,NA())</x:f>
        <x:v>0.03658313517468448</x:v>
      </x:c>
      <x:c r="H225" s="45" t="n">
        <x:f>IF(ISNUMBER('Assumptions'!H72),'Assumptions'!H72,NA())</x:f>
        <x:v>0.034</x:v>
      </x:c>
      <x:c r="I225" s="45" t="n">
        <x:f>IF(ISNUMBER('Assumptions'!I72),'Assumptions'!I72,NA())</x:f>
        <x:v>0.033</x:v>
      </x:c>
      <x:c r="J225" s="45" t="n">
        <x:f>IF(ISNUMBER('Assumptions'!J72),'Assumptions'!J72,NA())</x:f>
        <x:v>0.032</x:v>
      </x:c>
      <x:c r="K225" s="45" t="n">
        <x:f>IF(ISNUMBER('Assumptions'!K72),'Assumptions'!K72,NA())</x:f>
        <x:v>0.031</x:v>
      </x:c>
      <x:c r="L225" s="2"/>
      <x:c r="M225" s="2"/>
      <x:c r="N225" s="2"/>
      <x:c r="O225" s="2"/>
    </x:row>
    <x:row r="226" ht="22" customHeight="1">
      <x:c r="A226" s="2"/>
      <x:c r="B226" s="2"/>
      <x:c r="C226" s="2" t="str">
        <x:v>Disposal proceeds / revenue</x:v>
      </x:c>
      <x:c r="D226" s="2" t="str">
        <x:v>%</x:v>
      </x:c>
      <x:c r="E226" s="44" t="n">
        <x:f>E228/E185</x:f>
        <x:v>0.0016432547044791944</x:v>
      </x:c>
      <x:c r="F226" s="44" t="n">
        <x:f>F228/F185</x:f>
        <x:v>0.0018047680019511007</x:v>
      </x:c>
      <x:c r="G226" s="45" t="n">
        <x:f>IF(ISNUMBER('Assumptions'!G78),'Assumptions'!G78,NA())</x:f>
        <x:v>0.0015905710945514988</x:v>
      </x:c>
      <x:c r="H226" s="45" t="n">
        <x:f>IF(ISNUMBER('Assumptions'!H78),'Assumptions'!H78,NA())</x:f>
        <x:v>0.0018</x:v>
      </x:c>
      <x:c r="I226" s="45" t="n">
        <x:f>IF(ISNUMBER('Assumptions'!I78),'Assumptions'!I78,NA())</x:f>
        <x:v>0.0018</x:v>
      </x:c>
      <x:c r="J226" s="45" t="n">
        <x:f>IF(ISNUMBER('Assumptions'!J78),'Assumptions'!J78,NA())</x:f>
        <x:v>0.0018</x:v>
      </x:c>
      <x:c r="K226" s="45" t="n">
        <x:f>IF(ISNUMBER('Assumptions'!K78),'Assumptions'!K78,NA())</x:f>
        <x:v>0.0018</x:v>
      </x:c>
      <x:c r="L226" s="2"/>
      <x:c r="M226" s="2"/>
      <x:c r="N226" s="2"/>
      <x:c r="O226" s="2"/>
    </x:row>
    <x:row r="227" ht="22" customHeight="1">
      <x:c r="A227" s="2"/>
      <x:c r="B227" s="2"/>
      <x:c r="C227" s="2" t="str">
        <x:v>Gross capex</x:v>
      </x:c>
      <x:c r="D227" s="2" t="str">
        <x:v>$m</x:v>
      </x:c>
      <x:c r="E227" s="39" t="n">
        <x:f>'Sources'!E45</x:f>
        <x:v>226.5</x:v>
      </x:c>
      <x:c r="F227" s="39" t="n">
        <x:f>'Sources'!F45</x:f>
        <x:v>245.3</x:v>
      </x:c>
      <x:c r="G227" s="4" t="n">
        <x:f>G185*G225</x:f>
        <x:v>345.00000000000006</x:v>
      </x:c>
      <x:c r="H227" s="4" t="n">
        <x:f>H185*H225</x:f>
        <x:v>362.32269149999996</x:v>
      </x:c>
      <x:c r="I227" s="4" t="n">
        <x:f>I185*I225</x:f>
        <x:v>393.86607876</x:v>
      </x:c>
      <x:c r="J227" s="4" t="n">
        <x:f>J185*J225</x:f>
        <x:v>423.9431247744</x:v>
      </x:c>
      <x:c r="K227" s="4" t="n">
        <x:f>K185*K225</x:f>
        <x:v>451.7643923377201</x:v>
      </x:c>
      <x:c r="L227" s="2"/>
      <x:c r="M227" s="2"/>
      <x:c r="N227" s="2"/>
      <x:c r="O227" s="2"/>
    </x:row>
    <x:row r="228" ht="22" customHeight="1">
      <x:c r="A228" s="2"/>
      <x:c r="B228" s="2"/>
      <x:c r="C228" s="2" t="str">
        <x:v>Disposal proceeds</x:v>
      </x:c>
      <x:c r="D228" s="2" t="str">
        <x:v>$m</x:v>
      </x:c>
      <x:c r="E228" s="39" t="n">
        <x:f>'Sources'!E46</x:f>
        <x:v>12.4</x:v>
      </x:c>
      <x:c r="F228" s="39" t="n">
        <x:f>'Sources'!F46</x:f>
        <x:v>14.8</x:v>
      </x:c>
      <x:c r="G228" s="4" t="n">
        <x:f>G185*G226</x:f>
        <x:v>15</x:v>
      </x:c>
      <x:c r="H228" s="4" t="n">
        <x:f>H185*H226</x:f>
        <x:v>19.181789549999998</x:v>
      </x:c>
      <x:c r="I228" s="4" t="n">
        <x:f>I185*I226</x:f>
        <x:v>21.483604296</x:v>
      </x:c>
      <x:c r="J228" s="4" t="n">
        <x:f>J185*J226</x:f>
        <x:v>23.84680076856</x:v>
      </x:c>
      <x:c r="K228" s="4" t="n">
        <x:f>K185*K226</x:f>
        <x:v>26.231480845416005</x:v>
      </x:c>
      <x:c r="L228" s="2"/>
      <x:c r="M228" s="2"/>
      <x:c r="N228" s="2"/>
      <x:c r="O228" s="2"/>
    </x:row>
    <x:row r="229" ht="22" customHeight="1">
      <x:c r="A229" s="2"/>
      <x:c r="B229" s="2"/>
      <x:c r="C229" s="49" t="str">
        <x:v>Net capex</x:v>
      </x:c>
      <x:c r="D229" s="49" t="str">
        <x:v>$m</x:v>
      </x:c>
      <x:c r="E229" s="51" t="n">
        <x:f>E227-E228</x:f>
        <x:v>214.1</x:v>
      </x:c>
      <x:c r="F229" s="51" t="n">
        <x:f>F227-F228</x:f>
        <x:v>230.5</x:v>
      </x:c>
      <x:c r="G229" s="51" t="n">
        <x:f>G227-G228</x:f>
        <x:v>330.00000000000006</x:v>
      </x:c>
      <x:c r="H229" s="51" t="n">
        <x:f>H227-H228</x:f>
        <x:v>343.14090194999994</x:v>
      </x:c>
      <x:c r="I229" s="51" t="n">
        <x:f>I227-I228</x:f>
        <x:v>372.382474464</x:v>
      </x:c>
      <x:c r="J229" s="51" t="n">
        <x:f>J227-J228</x:f>
        <x:v>400.09632400584</x:v>
      </x:c>
      <x:c r="K229" s="51" t="n">
        <x:f>K227-K228</x:f>
        <x:v>425.5329114923041</x:v>
      </x:c>
      <x:c r="L229" s="2"/>
      <x:c r="M229" s="2"/>
      <x:c r="N229" s="2"/>
      <x:c r="O229" s="2"/>
    </x:row>
    <x:row r="230" ht="22" customHeight="1">
      <x:c r="A230" s="2"/>
      <x:c r="B230" s="2"/>
      <x:c r="C230" s="2"/>
      <x:c r="D230" s="2"/>
      <x:c r="E230" s="4"/>
      <x:c r="F230" s="4"/>
      <x:c r="G230" s="4"/>
      <x:c r="H230" s="4"/>
      <x:c r="I230" s="4"/>
      <x:c r="J230" s="4"/>
      <x:c r="K230" s="4"/>
      <x:c r="L230" s="2"/>
      <x:c r="M230" s="2"/>
      <x:c r="N230" s="2"/>
      <x:c r="O230" s="2"/>
    </x:row>
    <x:row r="231" ht="26" customHeight="1">
      <x:c r="A231" s="2"/>
      <x:c r="B231" s="2"/>
      <x:c r="C231" s="26" t="str">
        <x:v>Earnings to free cash flow</x:v>
      </x:c>
      <x:c r="D231" s="26" t="str">
        <x:v>Earnings to free cash flow</x:v>
      </x:c>
      <x:c r="E231" s="27" t="str">
        <x:v>Earnings to free cash flow</x:v>
      </x:c>
      <x:c r="F231" s="27" t="str">
        <x:v>Earnings to free cash flow</x:v>
      </x:c>
      <x:c r="G231" s="27" t="str">
        <x:v>Earnings to free cash flow</x:v>
      </x:c>
      <x:c r="H231" s="27" t="str">
        <x:v>Earnings to free cash flow</x:v>
      </x:c>
      <x:c r="I231" s="27" t="str">
        <x:v>Earnings to free cash flow</x:v>
      </x:c>
      <x:c r="J231" s="27" t="str">
        <x:v>Earnings to free cash flow</x:v>
      </x:c>
      <x:c r="K231" s="27" t="str">
        <x:v>Earnings to free cash flow</x:v>
      </x:c>
      <x:c r="L231" s="2"/>
      <x:c r="M231" s="2"/>
      <x:c r="N231" s="2"/>
      <x:c r="O231" s="2"/>
    </x:row>
    <x:row r="232" ht="24" customHeight="1">
      <x:c r="A232" s="2"/>
      <x:c r="B232" s="2"/>
      <x:c r="C232" s="2" t="str">
        <x:v>Net income</x:v>
      </x:c>
      <x:c r="D232" s="2" t="str">
        <x:v>$m</x:v>
      </x:c>
      <x:c r="E232" s="39" t="n">
        <x:f>'Sources'!E17</x:f>
        <x:v>1150.6</x:v>
      </x:c>
      <x:c r="F232" s="39" t="n">
        <x:f>'Sources'!F17</x:f>
        <x:v>1258.4</x:v>
      </x:c>
      <x:c r="G232" s="4" t="n">
        <x:f>G197</x:f>
        <x:v>1493.2372455</x:v>
      </x:c>
      <x:c r="H232" s="4" t="n">
        <x:f>H197</x:f>
        <x:v>1735.5683184839993</x:v>
      </x:c>
      <x:c r="I232" s="4" t="n">
        <x:f>I197</x:f>
        <x:v>1988.8327323664798</x:v>
      </x:c>
      <x:c r="J232" s="4" t="n">
        <x:f>J197</x:f>
        <x:v>2252.5555523755284</x:v>
      </x:c>
      <x:c r="K232" s="4" t="n">
        <x:f>K197</x:f>
        <x:v>2516.2693731414447</x:v>
      </x:c>
      <x:c r="L232" s="2"/>
      <x:c r="M232" s="40" t="str">
        <x:v>Historical CFO is reported. Forecast CFO bridges from net income through non-cash expenses and changes in operating working capital. Tax timing is neutral.</x:v>
      </x:c>
      <x:c r="N232" s="40" t="str">
        <x:v>Historical CFO is reported. Forecast CFO bridges from net income through non-cash expenses and changes in operating working capital. Tax timing is neutral.</x:v>
      </x:c>
      <x:c r="O232" s="40" t="str">
        <x:v>Historical CFO is reported. Forecast CFO bridges from net income through non-cash expenses and changes in operating working capital. Tax timing is neutral.</x:v>
      </x:c>
    </x:row>
    <x:row r="233" ht="24" customHeight="1">
      <x:c r="A233" s="2"/>
      <x:c r="B233" s="2"/>
      <x:c r="C233" s="2" t="str">
        <x:v>Depreciation and amortization</x:v>
      </x:c>
      <x:c r="D233" s="2" t="str">
        <x:v>$m</x:v>
      </x:c>
      <x:c r="E233" s="4" t="n">
        <x:f>E222</x:f>
        <x:v>175.39999999999998</x:v>
      </x:c>
      <x:c r="F233" s="4" t="n">
        <x:f>F222</x:f>
        <x:v>179.2</x:v>
      </x:c>
      <x:c r="G233" s="4" t="n">
        <x:f>G222</x:f>
        <x:v>202.75736249999997</x:v>
      </x:c>
      <x:c r="H233" s="4" t="n">
        <x:f>H222</x:f>
        <x:v>223.78754474999997</x:v>
      </x:c>
      <x:c r="I233" s="4" t="n">
        <x:f>I222</x:f>
        <x:v>244.67438226</x:v>
      </x:c>
      <x:c r="J233" s="4" t="n">
        <x:f>J222</x:f>
        <x:v>264.96445298400005</x:v>
      </x:c>
      <x:c r="K233" s="4" t="n">
        <x:f>K222</x:f>
        <x:v>291.4608982824001</x:v>
      </x:c>
      <x:c r="L233" s="2"/>
      <x:c r="M233" s="40" t="str">
        <x:v>Historical CFO is reported. Forecast CFO bridges from net income through non-cash expenses and changes in operating working capital. Tax timing is neutral.</x:v>
      </x:c>
      <x:c r="N233" s="40" t="str">
        <x:v>Historical CFO is reported. Forecast CFO bridges from net income through non-cash expenses and changes in operating working capital. Tax timing is neutral.</x:v>
      </x:c>
      <x:c r="O233" s="40" t="str">
        <x:v>Historical CFO is reported. Forecast CFO bridges from net income through non-cash expenses and changes in operating working capital. Tax timing is neutral.</x:v>
      </x:c>
    </x:row>
    <x:row r="234" ht="24" customHeight="1">
      <x:c r="A234" s="2"/>
      <x:c r="B234" s="2"/>
      <x:c r="C234" s="2" t="str">
        <x:v>Stock-based compensation</x:v>
      </x:c>
      <x:c r="D234" s="2" t="str">
        <x:v>$m</x:v>
      </x:c>
      <x:c r="E234" s="39" t="n">
        <x:f>'Sources'!E31</x:f>
        <x:v>8</x:v>
      </x:c>
      <x:c r="F234" s="39" t="n">
        <x:f>'Sources'!F31</x:f>
        <x:v>8.4</x:v>
      </x:c>
      <x:c r="G234" s="4" t="n">
        <x:f>G223</x:f>
        <x:v>9.430575</x:v>
      </x:c>
      <x:c r="H234" s="4" t="n">
        <x:f>H223</x:f>
        <x:v>10.656549749999998</x:v>
      </x:c>
      <x:c r="I234" s="4" t="n">
        <x:f>I223</x:f>
        <x:v>11.93533572</x:v>
      </x:c>
      <x:c r="J234" s="4" t="n">
        <x:f>J223</x:f>
        <x:v>13.2482226492</x:v>
      </x:c>
      <x:c r="K234" s="4" t="n">
        <x:f>K223</x:f>
        <x:v>14.573044914120002</x:v>
      </x:c>
      <x:c r="L234" s="2"/>
      <x:c r="M234" s="40" t="str">
        <x:v>Historical CFO is reported. Forecast CFO bridges from net income through non-cash expenses and changes in operating working capital. Tax timing is neutral.</x:v>
      </x:c>
      <x:c r="N234" s="40" t="str">
        <x:v>Historical CFO is reported. Forecast CFO bridges from net income through non-cash expenses and changes in operating working capital. Tax timing is neutral.</x:v>
      </x:c>
      <x:c r="O234" s="40" t="str">
        <x:v>Historical CFO is reported. Forecast CFO bridges from net income through non-cash expenses and changes in operating working capital. Tax timing is neutral.</x:v>
      </x:c>
    </x:row>
    <x:row r="235" ht="24" customHeight="1">
      <x:c r="A235" s="2"/>
      <x:c r="B235" s="2"/>
      <x:c r="C235" s="2" t="str">
        <x:v>Other non-cash adjustments</x:v>
      </x:c>
      <x:c r="D235" s="2" t="str">
        <x:v>$m</x:v>
      </x:c>
      <x:c r="E235" s="4" t="n">
        <x:f>E224</x:f>
        <x:v>-6.6</x:v>
      </x:c>
      <x:c r="F235" s="4" t="n">
        <x:f>F224</x:f>
        <x:v>-0.10000000000000053</x:v>
      </x:c>
      <x:c r="G235" s="4" t="n">
        <x:f>G224</x:f>
        <x:v>0</x:v>
      </x:c>
      <x:c r="H235" s="4" t="n">
        <x:f>H224</x:f>
        <x:v>0</x:v>
      </x:c>
      <x:c r="I235" s="4" t="n">
        <x:f>I224</x:f>
        <x:v>0</x:v>
      </x:c>
      <x:c r="J235" s="4" t="n">
        <x:f>J224</x:f>
        <x:v>0</x:v>
      </x:c>
      <x:c r="K235" s="4" t="n">
        <x:f>K224</x:f>
        <x:v>0</x:v>
      </x:c>
      <x:c r="L235" s="2"/>
      <x:c r="M235" s="40" t="str">
        <x:v>Historical CFO is reported. Forecast CFO bridges from net income through non-cash expenses and changes in operating working capital. Tax timing is neutral.</x:v>
      </x:c>
      <x:c r="N235" s="40" t="str">
        <x:v>Historical CFO is reported. Forecast CFO bridges from net income through non-cash expenses and changes in operating working capital. Tax timing is neutral.</x:v>
      </x:c>
      <x:c r="O235" s="40" t="str">
        <x:v>Historical CFO is reported. Forecast CFO bridges from net income through non-cash expenses and changes in operating working capital. Tax timing is neutral.</x:v>
      </x:c>
    </x:row>
    <x:row r="236" ht="24" customHeight="1">
      <x:c r="A236" s="2"/>
      <x:c r="B236" s="2"/>
      <x:c r="C236" s="2" t="str">
        <x:v>Cash effect: operating working capital</x:v>
      </x:c>
      <x:c r="D236" s="2" t="str">
        <x:v>$m</x:v>
      </x:c>
      <x:c r="E236" s="39" t="n">
        <x:f>SUM('Sources'!E36:E42)</x:f>
        <x:v>-154.10000000000002</x:v>
      </x:c>
      <x:c r="F236" s="39" t="n">
        <x:f>SUM('Sources'!F36:F42)</x:f>
        <x:v>-150.00000000000003</x:v>
      </x:c>
      <x:c r="G236" s="4" t="n">
        <x:f>-G216</x:f>
        <x:v>-278.1813780136981</x:v>
      </x:c>
      <x:c r="H236" s="4" t="n">
        <x:f>-H216</x:f>
        <x:v>-259.0421345630143</x:v>
      </x:c>
      <x:c r="I236" s="4" t="n">
        <x:f>-I216</x:f>
        <x:v>-248.08447818000013</x:v>
      </x:c>
      <x:c r="J236" s="4" t="n">
        <x:f>-J216</x:f>
        <x:v>-272.0025406105592</x:v>
      </x:c>
      <x:c r="K236" s="4" t="n">
        <x:f>-K216</x:f>
        <x:v>-255.60358552857952</x:v>
      </x:c>
      <x:c r="L236" s="2"/>
      <x:c r="M236" s="40" t="str">
        <x:v>Historical CFO is reported. Forecast CFO bridges from net income through non-cash expenses and changes in operating working capital. Tax timing is neutral.</x:v>
      </x:c>
      <x:c r="N236" s="40" t="str">
        <x:v>Historical CFO is reported. Forecast CFO bridges from net income through non-cash expenses and changes in operating working capital. Tax timing is neutral.</x:v>
      </x:c>
      <x:c r="O236" s="40" t="str">
        <x:v>Historical CFO is reported. Forecast CFO bridges from net income through non-cash expenses and changes in operating working capital. Tax timing is neutral.</x:v>
      </x:c>
    </x:row>
    <x:row r="237" ht="24" customHeight="1">
      <x:c r="A237" s="2"/>
      <x:c r="B237" s="2"/>
      <x:c r="C237" s="49" t="str">
        <x:v>Operating cash flow</x:v>
      </x:c>
      <x:c r="D237" s="49" t="str">
        <x:v>$m</x:v>
      </x:c>
      <x:c r="E237" s="50" t="n">
        <x:f>'Sources'!E44</x:f>
        <x:v>1173.3</x:v>
      </x:c>
      <x:c r="F237" s="50" t="n">
        <x:f>'Sources'!F44</x:f>
        <x:v>1295.9</x:v>
      </x:c>
      <x:c r="G237" s="51" t="n">
        <x:f>SUM(G232:G236)</x:f>
        <x:v>1427.243804986302</x:v>
      </x:c>
      <x:c r="H237" s="51" t="n">
        <x:f>SUM(H232:H236)</x:f>
        <x:v>1710.970278420985</x:v>
      </x:c>
      <x:c r="I237" s="51" t="n">
        <x:f>SUM(I232:I236)</x:f>
        <x:v>1997.3579721664796</x:v>
      </x:c>
      <x:c r="J237" s="51" t="n">
        <x:f>SUM(J232:J236)</x:f>
        <x:v>2258.7656873981696</x:v>
      </x:c>
      <x:c r="K237" s="51" t="n">
        <x:f>SUM(K232:K236)</x:f>
        <x:v>2566.6997308093855</x:v>
      </x:c>
      <x:c r="L237" s="2"/>
      <x:c r="M237" s="40" t="str">
        <x:v>Historical CFO is reported. Forecast CFO bridges from net income through non-cash expenses and changes in operating working capital. Tax timing is neutral.</x:v>
      </x:c>
      <x:c r="N237" s="40" t="str">
        <x:v>Historical CFO is reported. Forecast CFO bridges from net income through non-cash expenses and changes in operating working capital. Tax timing is neutral.</x:v>
      </x:c>
      <x:c r="O237" s="40" t="str">
        <x:v>Historical CFO is reported. Forecast CFO bridges from net income through non-cash expenses and changes in operating working capital. Tax timing is neutral.</x:v>
      </x:c>
    </x:row>
    <x:row r="238" ht="22" customHeight="1">
      <x:c r="A238" s="2"/>
      <x:c r="B238" s="2"/>
      <x:c r="C238" s="2" t="str">
        <x:v>Net capex</x:v>
      </x:c>
      <x:c r="D238" s="2" t="str">
        <x:v>$m</x:v>
      </x:c>
      <x:c r="E238" s="4" t="n">
        <x:f>E229</x:f>
        <x:v>214.1</x:v>
      </x:c>
      <x:c r="F238" s="4" t="n">
        <x:f>F229</x:f>
        <x:v>230.5</x:v>
      </x:c>
      <x:c r="G238" s="4" t="n">
        <x:f>G229</x:f>
        <x:v>330.00000000000006</x:v>
      </x:c>
      <x:c r="H238" s="4" t="n">
        <x:f>H229</x:f>
        <x:v>343.14090194999994</x:v>
      </x:c>
      <x:c r="I238" s="4" t="n">
        <x:f>I229</x:f>
        <x:v>372.382474464</x:v>
      </x:c>
      <x:c r="J238" s="4" t="n">
        <x:f>J229</x:f>
        <x:v>400.09632400584</x:v>
      </x:c>
      <x:c r="K238" s="4" t="n">
        <x:f>K229</x:f>
        <x:v>425.5329114923041</x:v>
      </x:c>
      <x:c r="L238" s="2"/>
      <x:c r="M238" s="2"/>
      <x:c r="N238" s="2"/>
      <x:c r="O238" s="2"/>
    </x:row>
    <x:row r="239" ht="22" customHeight="1">
      <x:c r="A239" s="2"/>
      <x:c r="B239" s="2"/>
      <x:c r="C239" s="56" t="str">
        <x:v>Free cash flow</x:v>
      </x:c>
      <x:c r="D239" s="56" t="str">
        <x:v>$m</x:v>
      </x:c>
      <x:c r="E239" s="57" t="n">
        <x:f>E237-E238</x:f>
        <x:v>959.1999999999999</x:v>
      </x:c>
      <x:c r="F239" s="57" t="n">
        <x:f>F237-F238</x:f>
        <x:v>1065.4</x:v>
      </x:c>
      <x:c r="G239" s="57" t="n">
        <x:f>G237-G238</x:f>
        <x:v>1097.243804986302</x:v>
      </x:c>
      <x:c r="H239" s="57" t="n">
        <x:f>H237-H238</x:f>
        <x:v>1367.8293764709852</x:v>
      </x:c>
      <x:c r="I239" s="57" t="n">
        <x:f>I237-I238</x:f>
        <x:v>1624.9754977024795</x:v>
      </x:c>
      <x:c r="J239" s="57" t="n">
        <x:f>J237-J238</x:f>
        <x:v>1858.6693633923296</x:v>
      </x:c>
      <x:c r="K239" s="57" t="n">
        <x:f>K237-K238</x:f>
        <x:v>2141.1668193170813</x:v>
      </x:c>
      <x:c r="L239" s="2"/>
      <x:c r="M239" s="2"/>
      <x:c r="N239" s="2"/>
      <x:c r="O239" s="2"/>
    </x:row>
    <x:row r="240" ht="22" customHeight="1">
      <x:c r="A240" s="2"/>
      <x:c r="B240" s="2"/>
      <x:c r="C240" s="2" t="str">
        <x:v>FCF / net income</x:v>
      </x:c>
      <x:c r="D240" s="2" t="str">
        <x:v>%</x:v>
      </x:c>
      <x:c r="E240" s="44" t="n">
        <x:f>E239/E232</x:f>
        <x:v>0.8336520076481836</x:v>
      </x:c>
      <x:c r="F240" s="44" t="n">
        <x:f>F239/F232</x:f>
        <x:v>0.8466306420851876</x:v>
      </x:c>
      <x:c r="G240" s="44" t="n">
        <x:f>G239/G232</x:f>
        <x:v>0.7348087574783856</x:v>
      </x:c>
      <x:c r="H240" s="44" t="n">
        <x:f>H239/H232</x:f>
        <x:v>0.7881161242132892</x:v>
      </x:c>
      <x:c r="I240" s="44" t="n">
        <x:f>I239/I232</x:f>
        <x:v>0.8170498560575014</x:v>
      </x:c>
      <x:c r="J240" s="44" t="n">
        <x:f>J239/J232</x:f>
        <x:v>0.8251380799164711</x:v>
      </x:c>
      <x:c r="K240" s="44" t="n">
        <x:f>K239/K232</x:f>
        <x:v>0.8509290945444107</x:v>
      </x:c>
      <x:c r="L240" s="2"/>
      <x:c r="M240" s="2"/>
      <x:c r="N240" s="2"/>
      <x:c r="O240" s="2"/>
    </x:row>
    <x:row r="241" ht="22" customHeight="1">
      <x:c r="A241" s="2"/>
      <x:c r="B241" s="2"/>
      <x:c r="C241" s="2" t="str">
        <x:v>FCF margin</x:v>
      </x:c>
      <x:c r="D241" s="2" t="str">
        <x:v>%</x:v>
      </x:c>
      <x:c r="E241" s="44" t="n">
        <x:f>E239/E185</x:f>
        <x:v>0.1271137026239067</x:v>
      </x:c>
      <x:c r="F241" s="44" t="n">
        <x:f>F239/F185</x:f>
        <x:v>0.12991890738369613</x:v>
      </x:c>
      <x:c r="G241" s="44" t="n">
        <x:f>G239/G185</x:f>
        <x:v>0.11634961865912757</x:v>
      </x:c>
      <x:c r="H241" s="44" t="n">
        <x:f>H239/H185</x:f>
        <x:v>0.1283557444538731</x:v>
      </x:c>
      <x:c r="I241" s="44" t="n">
        <x:f>I239/I185</x:f>
        <x:v>0.1361482857142857</x:v>
      </x:c>
      <x:c r="J241" s="44" t="n">
        <x:f>J239/J185</x:f>
        <x:v>0.14029575231395783</x:v>
      </x:c>
      <x:c r="K241" s="44" t="n">
        <x:f>K239/K185</x:f>
        <x:v>0.14692652303860523</x:v>
      </x:c>
      <x:c r="L241" s="2"/>
      <x:c r="M241" s="2"/>
      <x:c r="N241" s="2"/>
      <x:c r="O241" s="2"/>
    </x:row>
    <x:row r="242" ht="22" customHeight="1">
      <x:c r="A242" s="2"/>
      <x:c r="B242" s="2"/>
      <x:c r="C242" s="49" t="str">
        <x:v>Cumulative forecast FCF</x:v>
      </x:c>
      <x:c r="D242" s="49" t="str">
        <x:v>$m</x:v>
      </x:c>
      <x:c r="E242" s="51"/>
      <x:c r="F242" s="51"/>
      <x:c r="G242" s="51" t="n">
        <x:f>SUM($G239:G239)</x:f>
        <x:v>1097.243804986302</x:v>
      </x:c>
      <x:c r="H242" s="51" t="n">
        <x:f>SUM($G239:H239)</x:f>
        <x:v>2465.0731814572873</x:v>
      </x:c>
      <x:c r="I242" s="51" t="n">
        <x:f>SUM($G239:I239)</x:f>
        <x:v>4090.048679159767</x:v>
      </x:c>
      <x:c r="J242" s="51" t="n">
        <x:f>SUM($G239:J239)</x:f>
        <x:v>5948.718042552096</x:v>
      </x:c>
      <x:c r="K242" s="51" t="n">
        <x:f>SUM($G239:K239)</x:f>
        <x:v>8089.884861869177</x:v>
      </x:c>
      <x:c r="L242" s="2"/>
      <x:c r="M242" s="2"/>
      <x:c r="N242" s="2"/>
      <x:c r="O242" s="2"/>
    </x:row>
    <x:row r="243" ht="22" customHeight="1">
      <x:c r="A243" s="2"/>
      <x:c r="B243" s="2"/>
      <x:c r="C243" s="2"/>
      <x:c r="D243" s="2"/>
      <x:c r="E243" s="4"/>
      <x:c r="F243" s="4"/>
      <x:c r="G243" s="4"/>
      <x:c r="H243" s="4"/>
      <x:c r="I243" s="4"/>
      <x:c r="J243" s="4"/>
      <x:c r="K243" s="4"/>
      <x:c r="L243" s="2"/>
      <x:c r="M243" s="2"/>
      <x:c r="N243" s="2"/>
      <x:c r="O243" s="2"/>
    </x:row>
    <x:row r="244" ht="26" customHeight="1">
      <x:c r="A244" s="2"/>
      <x:c r="B244" s="2"/>
      <x:c r="C244" s="26" t="str">
        <x:v>FY2026 forecast against H1 actuals</x:v>
      </x:c>
      <x:c r="D244" s="26" t="str">
        <x:v>FY2026 forecast against H1 actuals</x:v>
      </x:c>
      <x:c r="E244" s="27" t="str">
        <x:v>FY2026 forecast against H1 actuals</x:v>
      </x:c>
      <x:c r="F244" s="27" t="str">
        <x:v>FY2026 forecast against H1 actuals</x:v>
      </x:c>
      <x:c r="G244" s="27" t="str">
        <x:v>FY2026 forecast against H1 actuals</x:v>
      </x:c>
      <x:c r="H244" s="27" t="str">
        <x:v>FY2026 forecast against H1 actuals</x:v>
      </x:c>
      <x:c r="I244" s="27" t="str">
        <x:v>FY2026 forecast against H1 actuals</x:v>
      </x:c>
      <x:c r="J244" s="27" t="str">
        <x:v>FY2026 forecast against H1 actuals</x:v>
      </x:c>
      <x:c r="K244" s="27" t="str">
        <x:v>FY2026 forecast against H1 actuals</x:v>
      </x:c>
      <x:c r="L244" s="2"/>
      <x:c r="M244" s="2"/>
      <x:c r="N244" s="2"/>
      <x:c r="O244" s="2"/>
    </x:row>
    <x:row r="245" ht="24" customHeight="1">
      <x:c r="A245" s="2"/>
      <x:c r="B245" s="2"/>
      <x:c r="C245" s="2" t="str">
        <x:v>Sales: H1 reported</x:v>
      </x:c>
      <x:c r="D245" s="2" t="str">
        <x:v>$m</x:v>
      </x:c>
      <x:c r="E245" s="4"/>
      <x:c r="F245" s="4"/>
      <x:c r="G245" s="39" t="n">
        <x:f>'Sources'!H8</x:f>
        <x:v>4588.6</x:v>
      </x:c>
      <x:c r="H245" s="4"/>
      <x:c r="I245" s="4"/>
      <x:c r="J245" s="4"/>
      <x:c r="K245" s="4"/>
      <x:c r="L245" s="2"/>
      <x:c r="M245" s="40" t="str">
        <x:v>FY2026 is a full-year estimate. H2 is the forecast less H1 reported, exposing the implied remaining-year requirement.</x:v>
      </x:c>
      <x:c r="N245" s="40" t="str">
        <x:v>FY2026 is a full-year estimate. H2 is the forecast less H1 reported, exposing the implied remaining-year requirement.</x:v>
      </x:c>
      <x:c r="O245" s="40" t="str">
        <x:v>FY2026 is a full-year estimate. H2 is the forecast less H1 reported, exposing the implied remaining-year requirement.</x:v>
      </x:c>
    </x:row>
    <x:row r="246" ht="24" customHeight="1">
      <x:c r="A246" s="2"/>
      <x:c r="B246" s="2"/>
      <x:c r="C246" s="2" t="str">
        <x:v>Sales: H2 implied</x:v>
      </x:c>
      <x:c r="D246" s="2" t="str">
        <x:v>$m</x:v>
      </x:c>
      <x:c r="E246" s="4"/>
      <x:c r="F246" s="4"/>
      <x:c r="G246" s="4" t="n">
        <x:f>G185-G245</x:f>
        <x:v>4841.9749999999985</x:v>
      </x:c>
      <x:c r="H246" s="4"/>
      <x:c r="I246" s="4"/>
      <x:c r="J246" s="4"/>
      <x:c r="K246" s="4"/>
      <x:c r="L246" s="2"/>
      <x:c r="M246" s="40" t="str">
        <x:v>FY2026 is a full-year estimate. H2 is the forecast less H1 reported, exposing the implied remaining-year requirement.</x:v>
      </x:c>
      <x:c r="N246" s="40" t="str">
        <x:v>FY2026 is a full-year estimate. H2 is the forecast less H1 reported, exposing the implied remaining-year requirement.</x:v>
      </x:c>
      <x:c r="O246" s="40" t="str">
        <x:v>FY2026 is a full-year estimate. H2 is the forecast less H1 reported, exposing the implied remaining-year requirement.</x:v>
      </x:c>
    </x:row>
    <x:row r="247" ht="24" customHeight="1">
      <x:c r="A247" s="2"/>
      <x:c r="B247" s="2"/>
      <x:c r="C247" s="2" t="str">
        <x:v>H2 implied sales growth</x:v>
      </x:c>
      <x:c r="D247" s="2" t="str">
        <x:v>%</x:v>
      </x:c>
      <x:c r="E247" s="44"/>
      <x:c r="F247" s="44"/>
      <x:c r="G247" s="45" t="n">
        <x:f>G246/('Sources'!F8-'Sources'!G8)-1</x:f>
        <x:v>0.16371250721015151</x:v>
      </x:c>
      <x:c r="H247" s="44"/>
      <x:c r="I247" s="44"/>
      <x:c r="J247" s="44"/>
      <x:c r="K247" s="44"/>
      <x:c r="L247" s="2"/>
      <x:c r="M247" s="40" t="str">
        <x:v>FY2026 is a full-year estimate. H2 is the forecast less H1 reported, exposing the implied remaining-year requirement.</x:v>
      </x:c>
      <x:c r="N247" s="40" t="str">
        <x:v>FY2026 is a full-year estimate. H2 is the forecast less H1 reported, exposing the implied remaining-year requirement.</x:v>
      </x:c>
      <x:c r="O247" s="40" t="str">
        <x:v>FY2026 is a full-year estimate. H2 is the forecast less H1 reported, exposing the implied remaining-year requirement.</x:v>
      </x:c>
    </x:row>
    <x:row r="248" ht="24" customHeight="1">
      <x:c r="A248" s="2"/>
      <x:c r="B248" s="2"/>
      <x:c r="C248" s="2" t="str">
        <x:v>EBIT: H1 reported</x:v>
      </x:c>
      <x:c r="D248" s="2" t="str">
        <x:v>$m</x:v>
      </x:c>
      <x:c r="E248" s="4"/>
      <x:c r="F248" s="4"/>
      <x:c r="G248" s="39" t="n">
        <x:f>'Sources'!H12</x:f>
        <x:v>949.4</x:v>
      </x:c>
      <x:c r="H248" s="4"/>
      <x:c r="I248" s="4"/>
      <x:c r="J248" s="4"/>
      <x:c r="K248" s="4"/>
      <x:c r="L248" s="2"/>
      <x:c r="M248" s="40" t="str">
        <x:v>FY2026 is a full-year estimate. H2 is the forecast less H1 reported, exposing the implied remaining-year requirement.</x:v>
      </x:c>
      <x:c r="N248" s="40" t="str">
        <x:v>FY2026 is a full-year estimate. H2 is the forecast less H1 reported, exposing the implied remaining-year requirement.</x:v>
      </x:c>
      <x:c r="O248" s="40" t="str">
        <x:v>FY2026 is a full-year estimate. H2 is the forecast less H1 reported, exposing the implied remaining-year requirement.</x:v>
      </x:c>
    </x:row>
    <x:row r="249" ht="24" customHeight="1">
      <x:c r="A249" s="2"/>
      <x:c r="B249" s="2"/>
      <x:c r="C249" s="2" t="str">
        <x:v>EBIT: H2 implied</x:v>
      </x:c>
      <x:c r="D249" s="2" t="str">
        <x:v>$m</x:v>
      </x:c>
      <x:c r="E249" s="4"/>
      <x:c r="F249" s="4"/>
      <x:c r="G249" s="4" t="n">
        <x:f>G193-G248</x:f>
        <x:v>1031.0207499999997</x:v>
      </x:c>
      <x:c r="H249" s="4"/>
      <x:c r="I249" s="4"/>
      <x:c r="J249" s="4"/>
      <x:c r="K249" s="4"/>
      <x:c r="L249" s="2"/>
      <x:c r="M249" s="40" t="str">
        <x:v>FY2026 is a full-year estimate. H2 is the forecast less H1 reported, exposing the implied remaining-year requirement.</x:v>
      </x:c>
      <x:c r="N249" s="40" t="str">
        <x:v>FY2026 is a full-year estimate. H2 is the forecast less H1 reported, exposing the implied remaining-year requirement.</x:v>
      </x:c>
      <x:c r="O249" s="40" t="str">
        <x:v>FY2026 is a full-year estimate. H2 is the forecast less H1 reported, exposing the implied remaining-year requirement.</x:v>
      </x:c>
    </x:row>
    <x:row r="250" ht="22" customHeight="1">
      <x:c r="A250" s="2"/>
      <x:c r="B250" s="2"/>
      <x:c r="C250" s="2" t="str">
        <x:v>H2 implied operating margin</x:v>
      </x:c>
      <x:c r="D250" s="2" t="str">
        <x:v>%</x:v>
      </x:c>
      <x:c r="E250" s="44"/>
      <x:c r="F250" s="44"/>
      <x:c r="G250" s="44" t="n">
        <x:f>G249/G246</x:f>
        <x:v>0.21293392675509476</x:v>
      </x:c>
      <x:c r="H250" s="44"/>
      <x:c r="I250" s="44"/>
      <x:c r="J250" s="44"/>
      <x:c r="K250" s="44"/>
      <x:c r="L250" s="2"/>
      <x:c r="M250" s="2"/>
      <x:c r="N250" s="2"/>
      <x:c r="O250" s="2"/>
    </x:row>
    <x:row r="251" ht="22" customHeight="1">
      <x:c r="A251" s="2"/>
      <x:c r="B251" s="2"/>
      <x:c r="C251" s="2" t="str">
        <x:v>CFO: H1 reported</x:v>
      </x:c>
      <x:c r="D251" s="2" t="str">
        <x:v>$m</x:v>
      </x:c>
      <x:c r="E251" s="4"/>
      <x:c r="F251" s="4"/>
      <x:c r="G251" s="39" t="n">
        <x:f>'Sources'!H44</x:f>
        <x:v>644.1</x:v>
      </x:c>
      <x:c r="H251" s="4"/>
      <x:c r="I251" s="4"/>
      <x:c r="J251" s="4"/>
      <x:c r="K251" s="4"/>
      <x:c r="L251" s="2"/>
      <x:c r="M251" s="2"/>
      <x:c r="N251" s="2"/>
      <x:c r="O251" s="2"/>
    </x:row>
    <x:row r="252" ht="22" customHeight="1">
      <x:c r="A252" s="2"/>
      <x:c r="B252" s="2"/>
      <x:c r="C252" s="2" t="str">
        <x:v>CFO: H2 implied</x:v>
      </x:c>
      <x:c r="D252" s="2" t="str">
        <x:v>$m</x:v>
      </x:c>
      <x:c r="E252" s="4"/>
      <x:c r="F252" s="4"/>
      <x:c r="G252" s="4" t="n">
        <x:f>G237-G251</x:f>
        <x:v>783.1438049863019</x:v>
      </x:c>
      <x:c r="H252" s="4"/>
      <x:c r="I252" s="4"/>
      <x:c r="J252" s="4"/>
      <x:c r="K252" s="4"/>
      <x:c r="L252" s="2"/>
      <x:c r="M252" s="2"/>
      <x:c r="N252" s="2"/>
      <x:c r="O252" s="2"/>
    </x:row>
    <x:row r="253" ht="22" customHeight="1">
      <x:c r="A253" s="2"/>
      <x:c r="B253" s="2"/>
      <x:c r="C253" s="2" t="str">
        <x:v>Net capex: H1 reported</x:v>
      </x:c>
      <x:c r="D253" s="2" t="str">
        <x:v>$m</x:v>
      </x:c>
      <x:c r="E253" s="4"/>
      <x:c r="F253" s="4"/>
      <x:c r="G253" s="39" t="n">
        <x:f>'Sources'!H45-'Sources'!H46</x:f>
        <x:v>118.2</x:v>
      </x:c>
      <x:c r="H253" s="4"/>
      <x:c r="I253" s="4"/>
      <x:c r="J253" s="4"/>
      <x:c r="K253" s="4"/>
      <x:c r="L253" s="2"/>
      <x:c r="M253" s="2"/>
      <x:c r="N253" s="2"/>
      <x:c r="O253" s="2"/>
    </x:row>
    <x:row r="254" ht="22" customHeight="1">
      <x:c r="A254" s="2"/>
      <x:c r="B254" s="2"/>
      <x:c r="C254" s="2" t="str">
        <x:v>Net capex: H2 implied</x:v>
      </x:c>
      <x:c r="D254" s="2" t="str">
        <x:v>$m</x:v>
      </x:c>
      <x:c r="E254" s="4"/>
      <x:c r="F254" s="4"/>
      <x:c r="G254" s="4" t="n">
        <x:f>G229-G253</x:f>
        <x:v>211.80000000000007</x:v>
      </x:c>
      <x:c r="H254" s="4"/>
      <x:c r="I254" s="4"/>
      <x:c r="J254" s="4"/>
      <x:c r="K254" s="4"/>
      <x:c r="L254" s="2"/>
      <x:c r="M254" s="2"/>
      <x:c r="N254" s="2"/>
      <x:c r="O254" s="2"/>
    </x:row>
    <x:row r="255" ht="22" customHeight="1">
      <x:c r="A255" s="2"/>
      <x:c r="B255" s="2"/>
      <x:c r="C255" s="2"/>
      <x:c r="D255" s="2"/>
      <x:c r="E255" s="4"/>
      <x:c r="F255" s="4"/>
      <x:c r="G255" s="4"/>
      <x:c r="H255" s="4"/>
      <x:c r="I255" s="4"/>
      <x:c r="J255" s="4"/>
      <x:c r="K255" s="4"/>
      <x:c r="L255" s="2"/>
      <x:c r="M255" s="2"/>
      <x:c r="N255" s="2"/>
      <x:c r="O255" s="2"/>
    </x:row>
    <x:row r="256" ht="26" customHeight="1">
      <x:c r="A256" s="2"/>
      <x:c r="B256" s="2"/>
      <x:c r="C256" s="26" t="str">
        <x:v>Growth and operating leverage</x:v>
      </x:c>
      <x:c r="D256" s="26" t="str">
        <x:v>Growth and operating leverage</x:v>
      </x:c>
      <x:c r="E256" s="27" t="str">
        <x:v>Growth and operating leverage</x:v>
      </x:c>
      <x:c r="F256" s="27" t="str">
        <x:v>Growth and operating leverage</x:v>
      </x:c>
      <x:c r="G256" s="27" t="str">
        <x:v>Growth and operating leverage</x:v>
      </x:c>
      <x:c r="H256" s="27" t="str">
        <x:v>Growth and operating leverage</x:v>
      </x:c>
      <x:c r="I256" s="27" t="str">
        <x:v>Growth and operating leverage</x:v>
      </x:c>
      <x:c r="J256" s="27" t="str">
        <x:v>Growth and operating leverage</x:v>
      </x:c>
      <x:c r="K256" s="27" t="str">
        <x:v>Growth and operating leverage</x:v>
      </x:c>
      <x:c r="L256" s="2"/>
      <x:c r="M256" s="2"/>
      <x:c r="N256" s="2"/>
      <x:c r="O256" s="2"/>
    </x:row>
    <x:row r="257" ht="22" customHeight="1">
      <x:c r="A257" s="2"/>
      <x:c r="B257" s="2"/>
      <x:c r="C257" s="2" t="str">
        <x:v>Revenue CAGR, FY2025–30</x:v>
      </x:c>
      <x:c r="D257" s="2" t="str">
        <x:v>%</x:v>
      </x:c>
      <x:c r="E257" s="44"/>
      <x:c r="F257" s="44"/>
      <x:c r="G257" s="44"/>
      <x:c r="H257" s="44"/>
      <x:c r="I257" s="44"/>
      <x:c r="J257" s="44"/>
      <x:c r="K257" s="44" t="n">
        <x:f>(K185/$F185)^(1/5)-1</x:f>
        <x:v>0.12186860354974627</x:v>
      </x:c>
      <x:c r="L257" s="2"/>
      <x:c r="M257" s="2"/>
      <x:c r="N257" s="2"/>
      <x:c r="O257" s="2"/>
    </x:row>
    <x:row r="258" ht="22" customHeight="1">
      <x:c r="A258" s="2"/>
      <x:c r="B258" s="2"/>
      <x:c r="C258" s="2" t="str">
        <x:v>EPS CAGR, FY2025–30</x:v>
      </x:c>
      <x:c r="D258" s="2" t="str">
        <x:v>%</x:v>
      </x:c>
      <x:c r="E258" s="44"/>
      <x:c r="F258" s="44"/>
      <x:c r="G258" s="44"/>
      <x:c r="H258" s="44"/>
      <x:c r="I258" s="44"/>
      <x:c r="J258" s="44"/>
      <x:c r="K258" s="44" t="n">
        <x:f>(K200/$F200)^(1/5)-1</x:f>
        <x:v>0.14942662501187742</x:v>
      </x:c>
      <x:c r="L258" s="2"/>
      <x:c r="M258" s="2"/>
      <x:c r="N258" s="2"/>
      <x:c r="O258" s="2"/>
    </x:row>
    <x:row r="259" ht="22" customHeight="1">
      <x:c r="A259" s="2"/>
      <x:c r="B259" s="2"/>
      <x:c r="C259" s="2" t="str">
        <x:v>FCF CAGR, FY2025–30</x:v>
      </x:c>
      <x:c r="D259" s="2" t="str">
        <x:v>%</x:v>
      </x:c>
      <x:c r="E259" s="44"/>
      <x:c r="F259" s="44"/>
      <x:c r="G259" s="44"/>
      <x:c r="H259" s="44"/>
      <x:c r="I259" s="44"/>
      <x:c r="J259" s="44"/>
      <x:c r="K259" s="44" t="n">
        <x:f>(K239/$F239)^(1/5)-1</x:f>
        <x:v>0.14981392107586244</x:v>
      </x:c>
      <x:c r="L259" s="2"/>
      <x:c r="M259" s="2"/>
      <x:c r="N259" s="2"/>
      <x:c r="O259" s="2"/>
    </x:row>
    <x:row r="260" ht="22" customHeight="1">
      <x:c r="A260" s="2"/>
      <x:c r="B260" s="2"/>
      <x:c r="C260" s="2" t="str">
        <x:v>Incremental operating margin</x:v>
      </x:c>
      <x:c r="D260" s="2" t="str">
        <x:v>%</x:v>
      </x:c>
      <x:c r="E260" s="44"/>
      <x:c r="F260" s="44"/>
      <x:c r="G260" s="44" t="n">
        <x:f>IF(G185=F185,"n.a.",(G193-F193)/(G185-F185))</x:f>
        <x:v>0.2639845131394427</x:v>
      </x:c>
      <x:c r="H260" s="44" t="n">
        <x:f>IF(H185=G185,"n.a.",(H193-G193)/(H185-G185))</x:f>
        <x:v>0.26215384615384574</x:v>
      </x:c>
      <x:c r="I260" s="44" t="n">
        <x:f>IF(I185=H185,"n.a.",(I193-H193)/(I185-H185))</x:f>
        <x:v>0.26266666666666694</x:v>
      </x:c>
      <x:c r="J260" s="44" t="n">
        <x:f>IF(J185=I185,"n.a.",(J193-I193)/(J185-I185))</x:f>
        <x:v>0.26640909090909076</x:v>
      </x:c>
      <x:c r="K260" s="44" t="n">
        <x:f>IF(K185=J185,"n.a.",(K193-J193)/(K185-J185))</x:f>
        <x:v>0.2640000000000003</x:v>
      </x:c>
      <x:c r="L260" s="2"/>
      <x:c r="M260" s="2"/>
      <x:c r="N260" s="2"/>
      <x:c r="O260" s="2"/>
    </x:row>
    <x:row r="261" ht="22" customHeight="1">
      <x:c r="A261" s="2"/>
      <x:c r="B261" s="2"/>
      <x:c r="C261" s="2"/>
      <x:c r="D261" s="2"/>
      <x:c r="E261" s="4"/>
      <x:c r="F261" s="4"/>
      <x:c r="G261" s="4"/>
      <x:c r="H261" s="4"/>
      <x:c r="I261" s="4"/>
      <x:c r="J261" s="4"/>
      <x:c r="K261" s="4"/>
      <x:c r="L261" s="2"/>
      <x:c r="M261" s="2"/>
      <x:c r="N261" s="2"/>
      <x:c r="O261" s="2"/>
    </x:row>
    <x:row r="262" ht="22" customHeight="1">
      <x:c r="A262" s="2"/>
      <x:c r="B262" s="2"/>
      <x:c r="C262" s="2"/>
      <x:c r="D262" s="2"/>
      <x:c r="E262" s="4"/>
      <x:c r="F262" s="4"/>
      <x:c r="G262" s="4"/>
      <x:c r="H262" s="4"/>
      <x:c r="I262" s="4"/>
      <x:c r="J262" s="4"/>
      <x:c r="K262" s="4"/>
      <x:c r="L262" s="2"/>
      <x:c r="M262" s="2"/>
      <x:c r="N262" s="2"/>
      <x:c r="O262" s="2"/>
    </x:row>
    <x:row r="263" ht="22" customHeight="1">
      <x:c r="A263" s="2"/>
      <x:c r="B263" s="2"/>
      <x:c r="C263" s="2"/>
      <x:c r="D263" s="2"/>
      <x:c r="E263" s="4"/>
      <x:c r="F263" s="4"/>
      <x:c r="G263" s="4"/>
      <x:c r="H263" s="4"/>
      <x:c r="I263" s="4"/>
      <x:c r="J263" s="4"/>
      <x:c r="K263" s="4"/>
      <x:c r="L263" s="2"/>
      <x:c r="M263" s="2"/>
      <x:c r="N263" s="2"/>
      <x:c r="O263" s="2"/>
    </x:row>
    <x:row r="264" ht="22" customHeight="1">
      <x:c r="A264" s="2"/>
      <x:c r="B264" s="2"/>
      <x:c r="C264" s="2"/>
      <x:c r="D264" s="2"/>
      <x:c r="E264" s="4"/>
      <x:c r="F264" s="4"/>
      <x:c r="G264" s="4"/>
      <x:c r="H264" s="4"/>
      <x:c r="I264" s="4"/>
      <x:c r="J264" s="4"/>
      <x:c r="K264" s="4"/>
      <x:c r="L264" s="2"/>
      <x:c r="M264" s="2"/>
      <x:c r="N264" s="2"/>
      <x:c r="O264" s="2"/>
    </x:row>
    <x:row r="265" ht="22" customHeight="1">
      <x:c r="A265" s="2"/>
      <x:c r="B265" s="2"/>
      <x:c r="C265" s="2"/>
      <x:c r="D265" s="2"/>
      <x:c r="E265" s="4"/>
      <x:c r="F265" s="4"/>
      <x:c r="G265" s="4"/>
      <x:c r="H265" s="4"/>
      <x:c r="I265" s="4"/>
      <x:c r="J265" s="4"/>
      <x:c r="K265" s="4"/>
      <x:c r="L265" s="2"/>
      <x:c r="M265" s="2"/>
      <x:c r="N265" s="2"/>
      <x:c r="O265" s="2"/>
    </x:row>
    <x:row r="266" ht="22" customHeight="1">
      <x:c r="A266" s="2"/>
      <x:c r="B266" s="2"/>
      <x:c r="C266" s="2"/>
      <x:c r="D266" s="2"/>
      <x:c r="E266" s="4"/>
      <x:c r="F266" s="4"/>
      <x:c r="G266" s="4"/>
      <x:c r="H266" s="4"/>
      <x:c r="I266" s="4"/>
      <x:c r="J266" s="4"/>
      <x:c r="K266" s="4"/>
      <x:c r="L266" s="2"/>
      <x:c r="M266" s="2"/>
      <x:c r="N266" s="2"/>
      <x:c r="O266" s="2"/>
    </x:row>
    <x:row r="267" ht="22" customHeight="1">
      <x:c r="A267" s="2"/>
      <x:c r="B267" s="2"/>
      <x:c r="C267" s="2"/>
      <x:c r="D267" s="2"/>
      <x:c r="E267" s="4"/>
      <x:c r="F267" s="4"/>
      <x:c r="G267" s="4"/>
      <x:c r="H267" s="4"/>
      <x:c r="I267" s="4"/>
      <x:c r="J267" s="4"/>
      <x:c r="K267" s="4"/>
      <x:c r="L267" s="2"/>
      <x:c r="M267" s="2"/>
      <x:c r="N267" s="2"/>
      <x:c r="O267" s="2"/>
    </x:row>
    <x:row r="268" ht="22" customHeight="1">
      <x:c r="A268" s="2"/>
      <x:c r="B268" s="2"/>
      <x:c r="C268" s="2"/>
      <x:c r="D268" s="2"/>
      <x:c r="E268" s="4"/>
      <x:c r="F268" s="4"/>
      <x:c r="G268" s="4"/>
      <x:c r="H268" s="4"/>
      <x:c r="I268" s="4"/>
      <x:c r="J268" s="4"/>
      <x:c r="K268" s="4"/>
      <x:c r="L268" s="2"/>
      <x:c r="M268" s="2"/>
      <x:c r="N268" s="2"/>
      <x:c r="O268" s="2"/>
    </x:row>
    <x:row r="269" ht="22" customHeight="1">
      <x:c r="A269" s="2"/>
      <x:c r="B269" s="2"/>
      <x:c r="C269" s="2"/>
      <x:c r="D269" s="2"/>
      <x:c r="E269" s="4"/>
      <x:c r="F269" s="4"/>
      <x:c r="G269" s="4"/>
      <x:c r="H269" s="4"/>
      <x:c r="I269" s="4"/>
      <x:c r="J269" s="4"/>
      <x:c r="K269" s="4"/>
      <x:c r="L269" s="2"/>
      <x:c r="M269" s="2"/>
      <x:c r="N269" s="2"/>
      <x:c r="O269" s="2"/>
    </x:row>
    <x:row r="270" ht="22" customHeight="1">
      <x:c r="A270" s="2"/>
      <x:c r="B270" s="2"/>
      <x:c r="C270" s="2"/>
      <x:c r="D270" s="2"/>
      <x:c r="E270" s="4"/>
      <x:c r="F270" s="4"/>
      <x:c r="G270" s="4"/>
      <x:c r="H270" s="4"/>
      <x:c r="I270" s="4"/>
      <x:c r="J270" s="4"/>
      <x:c r="K270" s="4"/>
      <x:c r="L270" s="2"/>
      <x:c r="M270" s="2"/>
      <x:c r="N270" s="2"/>
      <x:c r="O270" s="2"/>
    </x:row>
    <x:row r="271" ht="22" customHeight="1">
      <x:c r="A271" s="2"/>
      <x:c r="B271" s="2"/>
      <x:c r="C271" s="2"/>
      <x:c r="D271" s="2"/>
      <x:c r="E271" s="4"/>
      <x:c r="F271" s="4"/>
      <x:c r="G271" s="4"/>
      <x:c r="H271" s="4"/>
      <x:c r="I271" s="4"/>
      <x:c r="J271" s="4"/>
      <x:c r="K271" s="4"/>
      <x:c r="L271" s="2"/>
      <x:c r="M271" s="2"/>
      <x:c r="N271" s="2"/>
      <x:c r="O271" s="2"/>
    </x:row>
  </x:sheetData>
  <x:mergeCells>
    <x:mergeCell ref="C2:K2"/>
    <x:mergeCell ref="C4:O4"/>
    <x:mergeCell ref="C8:K8"/>
    <x:mergeCell ref="C27:K27"/>
    <x:mergeCell ref="C43:K43"/>
    <x:mergeCell ref="C55:K55"/>
    <x:mergeCell ref="C68:K68"/>
    <x:mergeCell ref="C80:K80"/>
    <x:mergeCell ref="M28:O31"/>
    <x:mergeCell ref="M44:O48"/>
    <x:mergeCell ref="M56:O61"/>
    <x:mergeCell ref="M69:O73"/>
    <x:mergeCell ref="C96:K96"/>
    <x:mergeCell ref="C115:K115"/>
    <x:mergeCell ref="C131:K131"/>
    <x:mergeCell ref="C143:K143"/>
    <x:mergeCell ref="C156:K156"/>
    <x:mergeCell ref="C168:K168"/>
    <x:mergeCell ref="M116:O119"/>
    <x:mergeCell ref="M132:O136"/>
    <x:mergeCell ref="M144:O149"/>
    <x:mergeCell ref="M157:O161"/>
    <x:mergeCell ref="C184:K184"/>
    <x:mergeCell ref="C203:K203"/>
    <x:mergeCell ref="C219:K219"/>
    <x:mergeCell ref="C231:K231"/>
    <x:mergeCell ref="C244:K244"/>
    <x:mergeCell ref="C256:K256"/>
    <x:mergeCell ref="M204:O207"/>
    <x:mergeCell ref="M220:O224"/>
    <x:mergeCell ref="M232:O237"/>
    <x:mergeCell ref="M245:O249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xSplit="4" ySplit="7" topLeftCell="E8" activePane="bottomRight" state="frozen"/>
    </x:sheetView>
  </x:sheetViews>
  <x:sheetFormatPr defaultRowHeight="15"/>
  <x:cols>
    <x:col min="1" max="1" width="2.200000047683716" hidden="0" customWidth="1"/>
    <x:col min="2" max="2" width="2.200000047683716" hidden="0" customWidth="1"/>
    <x:col min="3" max="3" width="35" hidden="0" customWidth="1"/>
    <x:col min="4" max="4" width="9" hidden="0" customWidth="1"/>
    <x:col min="5" max="5" width="13" hidden="0" customWidth="1"/>
    <x:col min="6" max="6" width="13" hidden="0" customWidth="1"/>
    <x:col min="7" max="7" width="13" hidden="0" customWidth="1"/>
    <x:col min="8" max="8" width="13" hidden="0" customWidth="1"/>
    <x:col min="9" max="9" width="13" hidden="0" customWidth="1"/>
    <x:col min="10" max="10" width="13" hidden="0" customWidth="1"/>
    <x:col min="11" max="11" width="13" hidden="0" customWidth="1"/>
    <x:col min="12" max="12" width="3" hidden="0" customWidth="1"/>
    <x:col min="13" max="13" width="17" hidden="0" customWidth="1"/>
    <x:col min="14" max="14" width="17" hidden="0" customWidth="1"/>
    <x:col min="15" max="15" width="17" hidden="0" customWidth="1"/>
  </x:cols>
  <x:sheetData>
    <x:row r="1" ht="22" customHeight="1">
      <x:c r="A1" s="2"/>
      <x:c r="B1" s="2"/>
      <x:c r="C1" s="2"/>
      <x:c r="D1" s="2"/>
      <x:c r="E1" s="4"/>
      <x:c r="F1" s="4"/>
      <x:c r="G1" s="4"/>
      <x:c r="H1" s="4"/>
      <x:c r="I1" s="4"/>
      <x:c r="J1" s="4"/>
      <x:c r="K1" s="4"/>
      <x:c r="L1" s="2"/>
      <x:c r="M1" s="2"/>
      <x:c r="N1" s="2"/>
      <x:c r="O1" s="2"/>
    </x:row>
    <x:row r="2" ht="24" customHeight="1">
      <x:c r="A2" s="2"/>
      <x:c r="B2" s="2"/>
      <x:c r="C2" s="9" t="str">
        <x:v>What changes FY2030 free cash flow?</x:v>
      </x:c>
      <x:c r="D2" s="9" t="str">
        <x:v>What changes FY2030 free cash flow?</x:v>
      </x:c>
      <x:c r="E2" s="10" t="str">
        <x:v>What changes FY2030 free cash flow?</x:v>
      </x:c>
      <x:c r="F2" s="10" t="str">
        <x:v>What changes FY2030 free cash flow?</x:v>
      </x:c>
      <x:c r="G2" s="10" t="str">
        <x:v>What changes FY2030 free cash flow?</x:v>
      </x:c>
      <x:c r="H2" s="10" t="str">
        <x:v>What changes FY2030 free cash flow?</x:v>
      </x:c>
      <x:c r="I2" s="10" t="str">
        <x:v>What changes FY2030 free cash flow?</x:v>
      </x:c>
      <x:c r="J2" s="10" t="str">
        <x:v>What changes FY2030 free cash flow?</x:v>
      </x:c>
      <x:c r="K2" s="10" t="str">
        <x:v>What changes FY2030 free cash flow?</x:v>
      </x:c>
      <x:c r="L2" s="2"/>
      <x:c r="M2" s="2"/>
      <x:c r="N2" s="2"/>
      <x:c r="O2" s="2"/>
    </x:row>
    <x:row r="3" ht="22" customHeight="1">
      <x:c r="A3" s="2"/>
      <x:c r="B3" s="2"/>
      <x:c r="C3" s="5"/>
      <x:c r="D3" s="5"/>
      <x:c r="E3" s="6"/>
      <x:c r="F3" s="6"/>
      <x:c r="G3" s="6"/>
      <x:c r="H3" s="6"/>
      <x:c r="I3" s="6"/>
      <x:c r="J3" s="6"/>
      <x:c r="K3" s="6"/>
      <x:c r="L3" s="2"/>
      <x:c r="M3" s="2"/>
      <x:c r="N3" s="2"/>
      <x:c r="O3" s="2"/>
    </x:row>
    <x:row r="4" ht="24" customHeight="1">
      <x:c r="A4" s="2"/>
      <x:c r="B4" s="2"/>
      <x:c r="C4" s="40" t="str">
        <x:v>Base-case FY2029 is fixed. Vary FY2030 sales growth and operating margin; hold gross margin and working-capital days constant. Margin changes flow through SG&amp;A.</x:v>
      </x:c>
      <x:c r="D4" s="40" t="str">
        <x:v>Base-case FY2029 is fixed. Vary FY2030 sales growth and operating margin; hold gross margin and working-capital days constant. Margin changes flow through SG&amp;A.</x:v>
      </x:c>
      <x:c r="E4" s="58" t="str">
        <x:v>Base-case FY2029 is fixed. Vary FY2030 sales growth and operating margin; hold gross margin and working-capital days constant. Margin changes flow through SG&amp;A.</x:v>
      </x:c>
      <x:c r="F4" s="58" t="str">
        <x:v>Base-case FY2029 is fixed. Vary FY2030 sales growth and operating margin; hold gross margin and working-capital days constant. Margin changes flow through SG&amp;A.</x:v>
      </x:c>
      <x:c r="G4" s="58" t="str">
        <x:v>Base-case FY2029 is fixed. Vary FY2030 sales growth and operating margin; hold gross margin and working-capital days constant. Margin changes flow through SG&amp;A.</x:v>
      </x:c>
      <x:c r="H4" s="58" t="str">
        <x:v>Base-case FY2029 is fixed. Vary FY2030 sales growth and operating margin; hold gross margin and working-capital days constant. Margin changes flow through SG&amp;A.</x:v>
      </x:c>
      <x:c r="I4" s="58" t="str">
        <x:v>Base-case FY2029 is fixed. Vary FY2030 sales growth and operating margin; hold gross margin and working-capital days constant. Margin changes flow through SG&amp;A.</x:v>
      </x:c>
      <x:c r="J4" s="58" t="str">
        <x:v>Base-case FY2029 is fixed. Vary FY2030 sales growth and operating margin; hold gross margin and working-capital days constant. Margin changes flow through SG&amp;A.</x:v>
      </x:c>
      <x:c r="K4" s="58" t="str">
        <x:v>Base-case FY2029 is fixed. Vary FY2030 sales growth and operating margin; hold gross margin and working-capital days constant. Margin changes flow through SG&amp;A.</x:v>
      </x:c>
      <x:c r="L4" s="2"/>
      <x:c r="M4" s="2"/>
      <x:c r="N4" s="2"/>
      <x:c r="O4" s="2"/>
    </x:row>
    <x:row r="5" ht="24" customHeight="1">
      <x:c r="A5" s="2"/>
      <x:c r="B5" s="2"/>
      <x:c r="C5" s="40" t="str">
        <x:v>Base-case FY2029 is fixed. Vary FY2030 sales growth and operating margin; hold gross margin and working-capital days constant. Margin changes flow through SG&amp;A.</x:v>
      </x:c>
      <x:c r="D5" s="40" t="str">
        <x:v>Base-case FY2029 is fixed. Vary FY2030 sales growth and operating margin; hold gross margin and working-capital days constant. Margin changes flow through SG&amp;A.</x:v>
      </x:c>
      <x:c r="E5" s="58" t="str">
        <x:v>Base-case FY2029 is fixed. Vary FY2030 sales growth and operating margin; hold gross margin and working-capital days constant. Margin changes flow through SG&amp;A.</x:v>
      </x:c>
      <x:c r="F5" s="58" t="str">
        <x:v>Base-case FY2029 is fixed. Vary FY2030 sales growth and operating margin; hold gross margin and working-capital days constant. Margin changes flow through SG&amp;A.</x:v>
      </x:c>
      <x:c r="G5" s="58" t="str">
        <x:v>Base-case FY2029 is fixed. Vary FY2030 sales growth and operating margin; hold gross margin and working-capital days constant. Margin changes flow through SG&amp;A.</x:v>
      </x:c>
      <x:c r="H5" s="58" t="str">
        <x:v>Base-case FY2029 is fixed. Vary FY2030 sales growth and operating margin; hold gross margin and working-capital days constant. Margin changes flow through SG&amp;A.</x:v>
      </x:c>
      <x:c r="I5" s="58" t="str">
        <x:v>Base-case FY2029 is fixed. Vary FY2030 sales growth and operating margin; hold gross margin and working-capital days constant. Margin changes flow through SG&amp;A.</x:v>
      </x:c>
      <x:c r="J5" s="58" t="str">
        <x:v>Base-case FY2029 is fixed. Vary FY2030 sales growth and operating margin; hold gross margin and working-capital days constant. Margin changes flow through SG&amp;A.</x:v>
      </x:c>
      <x:c r="K5" s="58" t="str">
        <x:v>Base-case FY2029 is fixed. Vary FY2030 sales growth and operating margin; hold gross margin and working-capital days constant. Margin changes flow through SG&amp;A.</x:v>
      </x:c>
      <x:c r="L5" s="2"/>
      <x:c r="M5" s="2"/>
      <x:c r="N5" s="2"/>
      <x:c r="O5" s="2"/>
    </x:row>
    <x:row r="6" ht="22" customHeight="1">
      <x:c r="A6" s="2"/>
      <x:c r="B6" s="2"/>
      <x:c r="C6" s="2"/>
      <x:c r="D6" s="2"/>
      <x:c r="E6" s="4"/>
      <x:c r="F6" s="4"/>
      <x:c r="G6" s="4"/>
      <x:c r="H6" s="4"/>
      <x:c r="I6" s="4"/>
      <x:c r="J6" s="4"/>
      <x:c r="K6" s="4"/>
      <x:c r="L6" s="2"/>
      <x:c r="M6" s="2"/>
      <x:c r="N6" s="2"/>
      <x:c r="O6" s="2"/>
    </x:row>
    <x:row r="7" ht="22" customHeight="1">
      <x:c r="A7" s="2"/>
      <x:c r="B7" s="2"/>
      <x:c r="C7" s="2"/>
      <x:c r="D7" s="2"/>
      <x:c r="E7" s="4"/>
      <x:c r="F7" s="4"/>
      <x:c r="G7" s="4"/>
      <x:c r="H7" s="4"/>
      <x:c r="I7" s="4"/>
      <x:c r="J7" s="4"/>
      <x:c r="K7" s="4"/>
      <x:c r="L7" s="2"/>
      <x:c r="M7" s="2"/>
      <x:c r="N7" s="2"/>
      <x:c r="O7" s="2"/>
    </x:row>
    <x:row r="8" ht="24" customHeight="1">
      <x:c r="A8" s="2"/>
      <x:c r="B8" s="2"/>
      <x:c r="C8" s="2" t="str">
        <x:v>FY2029 revenue</x:v>
      </x:c>
      <x:c r="D8" s="2"/>
      <x:c r="E8" s="39" t="n">
        <x:f>'Model'!J97</x:f>
        <x:v>12105.650264400007</x:v>
      </x:c>
      <x:c r="F8" s="4"/>
      <x:c r="G8" s="59" t="str">
        <x:v>A faster-growing business can require more cash in receivables and inventory. Both effects recalculate in the matrix below.</x:v>
      </x:c>
      <x:c r="H8" s="59" t="str">
        <x:v>A faster-growing business can require more cash in receivables and inventory. Both effects recalculate in the matrix below.</x:v>
      </x:c>
      <x:c r="I8" s="59" t="str">
        <x:v>A faster-growing business can require more cash in receivables and inventory. Both effects recalculate in the matrix below.</x:v>
      </x:c>
      <x:c r="J8" s="59" t="str">
        <x:v>A faster-growing business can require more cash in receivables and inventory. Both effects recalculate in the matrix below.</x:v>
      </x:c>
      <x:c r="K8" s="59" t="str">
        <x:v>A faster-growing business can require more cash in receivables and inventory. Both effects recalculate in the matrix below.</x:v>
      </x:c>
      <x:c r="L8" s="2"/>
      <x:c r="M8" s="2"/>
      <x:c r="N8" s="2"/>
      <x:c r="O8" s="2"/>
    </x:row>
    <x:row r="9" ht="24" customHeight="1">
      <x:c r="A9" s="2"/>
      <x:c r="B9" s="2"/>
      <x:c r="C9" s="2" t="str">
        <x:v>FY2030 gross margin</x:v>
      </x:c>
      <x:c r="D9" s="2"/>
      <x:c r="E9" s="45" t="n">
        <x:f>'Model'!K102</x:f>
        <x:v>0.444</x:v>
      </x:c>
      <x:c r="F9" s="4"/>
      <x:c r="G9" s="59" t="str">
        <x:v>A faster-growing business can require more cash in receivables and inventory. Both effects recalculate in the matrix below.</x:v>
      </x:c>
      <x:c r="H9" s="59" t="str">
        <x:v>A faster-growing business can require more cash in receivables and inventory. Both effects recalculate in the matrix below.</x:v>
      </x:c>
      <x:c r="I9" s="59" t="str">
        <x:v>A faster-growing business can require more cash in receivables and inventory. Both effects recalculate in the matrix below.</x:v>
      </x:c>
      <x:c r="J9" s="59" t="str">
        <x:v>A faster-growing business can require more cash in receivables and inventory. Both effects recalculate in the matrix below.</x:v>
      </x:c>
      <x:c r="K9" s="59" t="str">
        <x:v>A faster-growing business can require more cash in receivables and inventory. Both effects recalculate in the matrix below.</x:v>
      </x:c>
      <x:c r="L9" s="2"/>
      <x:c r="M9" s="2"/>
      <x:c r="N9" s="2"/>
      <x:c r="O9" s="2"/>
    </x:row>
    <x:row r="10" ht="24" customHeight="1">
      <x:c r="A10" s="2"/>
      <x:c r="B10" s="2"/>
      <x:c r="C10" s="2" t="str">
        <x:v>FY2030 tax rate</x:v>
      </x:c>
      <x:c r="D10" s="2"/>
      <x:c r="E10" s="45" t="n">
        <x:f>'Model'!K110</x:f>
        <x:v>0.246</x:v>
      </x:c>
      <x:c r="F10" s="4"/>
      <x:c r="G10" s="59" t="str">
        <x:v>A faster-growing business can require more cash in receivables and inventory. Both effects recalculate in the matrix below.</x:v>
      </x:c>
      <x:c r="H10" s="59" t="str">
        <x:v>A faster-growing business can require more cash in receivables and inventory. Both effects recalculate in the matrix below.</x:v>
      </x:c>
      <x:c r="I10" s="59" t="str">
        <x:v>A faster-growing business can require more cash in receivables and inventory. Both effects recalculate in the matrix below.</x:v>
      </x:c>
      <x:c r="J10" s="59" t="str">
        <x:v>A faster-growing business can require more cash in receivables and inventory. Both effects recalculate in the matrix below.</x:v>
      </x:c>
      <x:c r="K10" s="59" t="str">
        <x:v>A faster-growing business can require more cash in receivables and inventory. Both effects recalculate in the matrix below.</x:v>
      </x:c>
      <x:c r="L10" s="2"/>
      <x:c r="M10" s="2"/>
      <x:c r="N10" s="2"/>
      <x:c r="O10" s="2"/>
    </x:row>
    <x:row r="11" ht="22" customHeight="1">
      <x:c r="A11" s="2"/>
      <x:c r="B11" s="2"/>
      <x:c r="C11" s="2" t="str">
        <x:v>FY2030 receivable days</x:v>
      </x:c>
      <x:c r="D11" s="2"/>
      <x:c r="E11" s="39" t="n">
        <x:f>'Model'!K116</x:f>
        <x:v>55</x:v>
      </x:c>
      <x:c r="F11" s="4"/>
      <x:c r="G11" s="4"/>
      <x:c r="H11" s="4"/>
      <x:c r="I11" s="4"/>
      <x:c r="J11" s="4"/>
      <x:c r="K11" s="4"/>
      <x:c r="L11" s="2"/>
      <x:c r="M11" s="2"/>
      <x:c r="N11" s="2"/>
      <x:c r="O11" s="2"/>
    </x:row>
    <x:row r="12" ht="24" customHeight="1">
      <x:c r="A12" s="2"/>
      <x:c r="B12" s="2"/>
      <x:c r="C12" s="2" t="str">
        <x:v>FY2030 inventory days</x:v>
      </x:c>
      <x:c r="D12" s="2"/>
      <x:c r="E12" s="39" t="n">
        <x:f>'Model'!K117</x:f>
        <x:v>132</x:v>
      </x:c>
      <x:c r="F12" s="4"/>
      <x:c r="G12" s="58" t="str">
        <x:v>The centre cell reproduces the Base case. These are terminal-year sensitivities, not changes to the entire five-year growth path.</x:v>
      </x:c>
      <x:c r="H12" s="58" t="str">
        <x:v>The centre cell reproduces the Base case. These are terminal-year sensitivities, not changes to the entire five-year growth path.</x:v>
      </x:c>
      <x:c r="I12" s="58" t="str">
        <x:v>The centre cell reproduces the Base case. These are terminal-year sensitivities, not changes to the entire five-year growth path.</x:v>
      </x:c>
      <x:c r="J12" s="58" t="str">
        <x:v>The centre cell reproduces the Base case. These are terminal-year sensitivities, not changes to the entire five-year growth path.</x:v>
      </x:c>
      <x:c r="K12" s="58" t="str">
        <x:v>The centre cell reproduces the Base case. These are terminal-year sensitivities, not changes to the entire five-year growth path.</x:v>
      </x:c>
      <x:c r="L12" s="2"/>
      <x:c r="M12" s="2"/>
      <x:c r="N12" s="2"/>
      <x:c r="O12" s="2"/>
    </x:row>
    <x:row r="13" ht="24" customHeight="1">
      <x:c r="A13" s="2"/>
      <x:c r="B13" s="2"/>
      <x:c r="C13" s="2" t="str">
        <x:v>FY2030 payable days</x:v>
      </x:c>
      <x:c r="D13" s="2"/>
      <x:c r="E13" s="39" t="n">
        <x:f>'Model'!K118</x:f>
        <x:v>30</x:v>
      </x:c>
      <x:c r="F13" s="4"/>
      <x:c r="G13" s="58" t="str">
        <x:v>The centre cell reproduces the Base case. These are terminal-year sensitivities, not changes to the entire five-year growth path.</x:v>
      </x:c>
      <x:c r="H13" s="58" t="str">
        <x:v>The centre cell reproduces the Base case. These are terminal-year sensitivities, not changes to the entire five-year growth path.</x:v>
      </x:c>
      <x:c r="I13" s="58" t="str">
        <x:v>The centre cell reproduces the Base case. These are terminal-year sensitivities, not changes to the entire five-year growth path.</x:v>
      </x:c>
      <x:c r="J13" s="58" t="str">
        <x:v>The centre cell reproduces the Base case. These are terminal-year sensitivities, not changes to the entire five-year growth path.</x:v>
      </x:c>
      <x:c r="K13" s="58" t="str">
        <x:v>The centre cell reproduces the Base case. These are terminal-year sensitivities, not changes to the entire five-year growth path.</x:v>
      </x:c>
      <x:c r="L13" s="2"/>
      <x:c r="M13" s="2"/>
      <x:c r="N13" s="2"/>
      <x:c r="O13" s="2"/>
    </x:row>
    <x:row r="14" ht="24" customHeight="1">
      <x:c r="A14" s="2"/>
      <x:c r="B14" s="2"/>
      <x:c r="C14" s="2" t="str">
        <x:v>FY2030 other NWC / sales</x:v>
      </x:c>
      <x:c r="D14" s="2"/>
      <x:c r="E14" s="45" t="n">
        <x:f>'Model'!K119</x:f>
        <x:v>-0.01</x:v>
      </x:c>
      <x:c r="F14" s="4"/>
      <x:c r="G14" s="58" t="str">
        <x:v>The centre cell reproduces the Base case. These are terminal-year sensitivities, not changes to the entire five-year growth path.</x:v>
      </x:c>
      <x:c r="H14" s="58" t="str">
        <x:v>The centre cell reproduces the Base case. These are terminal-year sensitivities, not changes to the entire five-year growth path.</x:v>
      </x:c>
      <x:c r="I14" s="58" t="str">
        <x:v>The centre cell reproduces the Base case. These are terminal-year sensitivities, not changes to the entire five-year growth path.</x:v>
      </x:c>
      <x:c r="J14" s="58" t="str">
        <x:v>The centre cell reproduces the Base case. These are terminal-year sensitivities, not changes to the entire five-year growth path.</x:v>
      </x:c>
      <x:c r="K14" s="58" t="str">
        <x:v>The centre cell reproduces the Base case. These are terminal-year sensitivities, not changes to the entire five-year growth path.</x:v>
      </x:c>
      <x:c r="L14" s="2"/>
      <x:c r="M14" s="2"/>
      <x:c r="N14" s="2"/>
      <x:c r="O14" s="2"/>
    </x:row>
    <x:row r="15" ht="22" customHeight="1">
      <x:c r="A15" s="2"/>
      <x:c r="B15" s="2"/>
      <x:c r="C15" s="2" t="str">
        <x:v>FY2030 D&amp;A / sales</x:v>
      </x:c>
      <x:c r="D15" s="2"/>
      <x:c r="E15" s="45" t="n">
        <x:f>'Model'!K132</x:f>
        <x:v>0.021</x:v>
      </x:c>
      <x:c r="F15" s="4"/>
      <x:c r="G15" s="4"/>
      <x:c r="H15" s="4"/>
      <x:c r="I15" s="4"/>
      <x:c r="J15" s="4"/>
      <x:c r="K15" s="4"/>
      <x:c r="L15" s="2"/>
      <x:c r="M15" s="2"/>
      <x:c r="N15" s="2"/>
      <x:c r="O15" s="2"/>
    </x:row>
    <x:row r="16" ht="22" customHeight="1">
      <x:c r="A16" s="2"/>
      <x:c r="B16" s="2"/>
      <x:c r="C16" s="2" t="str">
        <x:v>FY2030 stock compensation / sales</x:v>
      </x:c>
      <x:c r="D16" s="2"/>
      <x:c r="E16" s="45" t="n">
        <x:f>'Model'!K133</x:f>
        <x:v>0.001</x:v>
      </x:c>
      <x:c r="F16" s="4"/>
      <x:c r="G16" s="4"/>
      <x:c r="H16" s="4"/>
      <x:c r="I16" s="4"/>
      <x:c r="J16" s="4"/>
      <x:c r="K16" s="4"/>
      <x:c r="L16" s="2"/>
      <x:c r="M16" s="2"/>
      <x:c r="N16" s="2"/>
      <x:c r="O16" s="2"/>
    </x:row>
    <x:row r="17" ht="22" customHeight="1">
      <x:c r="A17" s="2"/>
      <x:c r="B17" s="2"/>
      <x:c r="C17" s="2" t="str">
        <x:v>FY2030 gross capex / sales</x:v>
      </x:c>
      <x:c r="D17" s="2"/>
      <x:c r="E17" s="45" t="n">
        <x:f>'Model'!K137</x:f>
        <x:v>0.03</x:v>
      </x:c>
      <x:c r="F17" s="4"/>
      <x:c r="G17" s="4"/>
      <x:c r="H17" s="4"/>
      <x:c r="I17" s="4"/>
      <x:c r="J17" s="4"/>
      <x:c r="K17" s="4"/>
      <x:c r="L17" s="2"/>
      <x:c r="M17" s="2"/>
      <x:c r="N17" s="2"/>
      <x:c r="O17" s="2"/>
    </x:row>
    <x:row r="18" ht="22" customHeight="1">
      <x:c r="A18" s="2"/>
      <x:c r="B18" s="2"/>
      <x:c r="C18" s="2" t="str">
        <x:v>FY2030 disposals / sales</x:v>
      </x:c>
      <x:c r="D18" s="2"/>
      <x:c r="E18" s="45" t="n">
        <x:f>'Model'!K138</x:f>
        <x:v>0.0018</x:v>
      </x:c>
      <x:c r="F18" s="4"/>
      <x:c r="G18" s="4"/>
      <x:c r="H18" s="4"/>
      <x:c r="I18" s="4"/>
      <x:c r="J18" s="4"/>
      <x:c r="K18" s="4"/>
      <x:c r="L18" s="2"/>
      <x:c r="M18" s="2"/>
      <x:c r="N18" s="2"/>
      <x:c r="O18" s="2"/>
    </x:row>
    <x:row r="19" ht="22" customHeight="1">
      <x:c r="A19" s="2"/>
      <x:c r="B19" s="2"/>
      <x:c r="C19" s="2" t="str">
        <x:v>FY2030 net interest</x:v>
      </x:c>
      <x:c r="D19" s="2"/>
      <x:c r="E19" s="39" t="n">
        <x:f>'Model'!K106</x:f>
        <x:v>0</x:v>
      </x:c>
      <x:c r="F19" s="4"/>
      <x:c r="G19" s="4"/>
      <x:c r="H19" s="4"/>
      <x:c r="I19" s="4"/>
      <x:c r="J19" s="4"/>
      <x:c r="K19" s="4"/>
      <x:c r="L19" s="2"/>
      <x:c r="M19" s="2"/>
      <x:c r="N19" s="2"/>
      <x:c r="O19" s="2"/>
    </x:row>
    <x:row r="20" ht="22" customHeight="1">
      <x:c r="A20" s="2"/>
      <x:c r="B20" s="2"/>
      <x:c r="C20" s="2" t="str">
        <x:v>FY2030 diluted shares</x:v>
      </x:c>
      <x:c r="D20" s="2"/>
      <x:c r="E20" s="39" t="n">
        <x:f>'Model'!K111</x:f>
        <x:v>1150.6</x:v>
      </x:c>
      <x:c r="F20" s="4"/>
      <x:c r="G20" s="4"/>
      <x:c r="H20" s="4"/>
      <x:c r="I20" s="4"/>
      <x:c r="J20" s="4"/>
      <x:c r="K20" s="4"/>
      <x:c r="L20" s="2"/>
      <x:c r="M20" s="2"/>
      <x:c r="N20" s="2"/>
      <x:c r="O20" s="2"/>
    </x:row>
    <x:row r="21" ht="22" customHeight="1">
      <x:c r="A21" s="2"/>
      <x:c r="B21" s="2"/>
      <x:c r="C21" s="2" t="str">
        <x:v>FY2029 operating NWC</x:v>
      </x:c>
      <x:c r="D21" s="2"/>
      <x:c r="E21" s="39" t="n">
        <x:f>'Model'!J126</x:f>
        <x:v>3639.3232972948294</x:v>
      </x:c>
      <x:c r="F21" s="4"/>
      <x:c r="G21" s="4"/>
      <x:c r="H21" s="4"/>
      <x:c r="I21" s="4"/>
      <x:c r="J21" s="4"/>
      <x:c r="K21" s="4"/>
      <x:c r="L21" s="2"/>
      <x:c r="M21" s="2"/>
      <x:c r="N21" s="2"/>
      <x:c r="O21" s="2"/>
    </x:row>
    <x:row r="22" ht="22" customHeight="1">
      <x:c r="A22" s="2"/>
      <x:c r="B22" s="2"/>
      <x:c r="C22" s="2"/>
      <x:c r="D22" s="2"/>
      <x:c r="E22" s="4"/>
      <x:c r="F22" s="4"/>
      <x:c r="G22" s="4"/>
      <x:c r="H22" s="4"/>
      <x:c r="I22" s="4"/>
      <x:c r="J22" s="4"/>
      <x:c r="K22" s="4"/>
      <x:c r="L22" s="2"/>
      <x:c r="M22" s="2"/>
      <x:c r="N22" s="2"/>
      <x:c r="O22" s="2"/>
    </x:row>
    <x:row r="23" ht="22" customHeight="1">
      <x:c r="A23" s="2"/>
      <x:c r="B23" s="2"/>
      <x:c r="C23" s="2"/>
      <x:c r="D23" s="2"/>
      <x:c r="E23" s="4"/>
      <x:c r="F23" s="4"/>
      <x:c r="G23" s="4"/>
      <x:c r="H23" s="4"/>
      <x:c r="I23" s="4"/>
      <x:c r="J23" s="4"/>
      <x:c r="K23" s="4"/>
      <x:c r="L23" s="2"/>
      <x:c r="M23" s="2"/>
      <x:c r="N23" s="2"/>
      <x:c r="O23" s="2"/>
    </x:row>
    <x:row r="24" ht="26" customHeight="1">
      <x:c r="A24" s="2"/>
      <x:c r="B24" s="2"/>
      <x:c r="C24" s="26" t="str">
        <x:v>FY2030 FCF ($m) · rows: operating margin · columns: revenue growth</x:v>
      </x:c>
      <x:c r="D24" s="26" t="str">
        <x:v>FY2030 FCF ($m) · rows: operating margin · columns: revenue growth</x:v>
      </x:c>
      <x:c r="E24" s="27" t="str">
        <x:v>FY2030 FCF ($m) · rows: operating margin · columns: revenue growth</x:v>
      </x:c>
      <x:c r="F24" s="27" t="str">
        <x:v>FY2030 FCF ($m) · rows: operating margin · columns: revenue growth</x:v>
      </x:c>
      <x:c r="G24" s="27" t="str">
        <x:v>FY2030 FCF ($m) · rows: operating margin · columns: revenue growth</x:v>
      </x:c>
      <x:c r="H24" s="27" t="str">
        <x:v>FY2030 FCF ($m) · rows: operating margin · columns: revenue growth</x:v>
      </x:c>
      <x:c r="I24" s="27" t="str">
        <x:v>FY2030 FCF ($m) · rows: operating margin · columns: revenue growth</x:v>
      </x:c>
      <x:c r="J24" s="27" t="str">
        <x:v>FY2030 FCF ($m) · rows: operating margin · columns: revenue growth</x:v>
      </x:c>
      <x:c r="K24" s="27" t="str">
        <x:v>FY2030 FCF ($m) · rows: operating margin · columns: revenue growth</x:v>
      </x:c>
      <x:c r="L24" s="2"/>
      <x:c r="M24" s="2"/>
      <x:c r="N24" s="2"/>
      <x:c r="O24" s="2"/>
    </x:row>
    <x:row r="25" ht="22" customHeight="1">
      <x:c r="A25" s="2"/>
      <x:c r="B25" s="2"/>
      <x:c r="C25" s="2"/>
      <x:c r="D25" s="2"/>
      <x:c r="E25" s="4"/>
      <x:c r="F25" s="4"/>
      <x:c r="G25" s="4"/>
      <x:c r="H25" s="4"/>
      <x:c r="I25" s="4"/>
      <x:c r="J25" s="4"/>
      <x:c r="K25" s="4"/>
      <x:c r="L25" s="2"/>
      <x:c r="M25" s="2"/>
      <x:c r="N25" s="2"/>
      <x:c r="O25" s="2"/>
    </x:row>
    <x:row r="26" ht="22" customHeight="1">
      <x:c r="A26" s="2"/>
      <x:c r="B26" s="2"/>
      <x:c r="C26" s="2" t="str">
        <x:v>Operating margin / growth</x:v>
      </x:c>
      <x:c r="D26" s="2"/>
      <x:c r="E26" s="45" t="n">
        <x:f>'Model'!K98+-0.03</x:f>
        <x:v>0.05</x:v>
      </x:c>
      <x:c r="F26" s="45" t="n">
        <x:f>'Model'!K98+-0.02</x:f>
        <x:v>0.06</x:v>
      </x:c>
      <x:c r="G26" s="45" t="n">
        <x:f>'Model'!K98+-0.01</x:f>
        <x:v>0.07</x:v>
      </x:c>
      <x:c r="H26" s="45" t="n">
        <x:f>'Model'!K98+0</x:f>
        <x:v>0.08</x:v>
      </x:c>
      <x:c r="I26" s="45" t="n">
        <x:f>'Model'!K98+0.01</x:f>
        <x:v>0.09</x:v>
      </x:c>
      <x:c r="J26" s="45" t="n">
        <x:f>'Model'!K98+0.02</x:f>
        <x:v>0.1</x:v>
      </x:c>
      <x:c r="K26" s="45" t="n">
        <x:f>'Model'!K98+0.03</x:f>
        <x:v>0.11</x:v>
      </x:c>
      <x:c r="L26" s="2"/>
      <x:c r="M26" s="2"/>
      <x:c r="N26" s="2"/>
      <x:c r="O26" s="2"/>
    </x:row>
    <x:row r="27" ht="22" customHeight="1">
      <x:c r="A27" s="2"/>
      <x:c r="B27" s="2"/>
      <x:c r="C27" s="61" t="n">
        <x:f>'Model'!K113+-0.015</x:f>
        <x:v>0.198</x:v>
      </x:c>
      <x:c r="D27" s="2"/>
      <x:c r="E27" s="4" t="n">
        <x:f>(E$52*$C27+$E$19)*(1-$E$10)+SUM(E$61:E$62)-E$60-E$63+E$64</x:f>
        <x:v>1694.9538497205153</x:v>
      </x:c>
      <x:c r="F27" s="4" t="n">
        <x:f>(F$52*$C27+$E$19)*(1-$E$10)+SUM(F$61:F$62)-F$60-F$63+F$64</x:f>
        <x:v>1676.4360454579028</x:v>
      </x:c>
      <x:c r="G27" s="4" t="n">
        <x:f>(G$52*$C27+$E$19)*(1-$E$10)+SUM(G$61:G$62)-G$60-G$63+G$64</x:f>
        <x:v>1657.9182411952906</x:v>
      </x:c>
      <x:c r="H27" s="4" t="n">
        <x:f>(H$52*$C27+$E$19)*(1-$E$10)+SUM(H$61:H$62)-H$60-H$63+H$64</x:f>
        <x:v>1639.4004369326788</x:v>
      </x:c>
      <x:c r="I27" s="4" t="n">
        <x:f>(I$52*$C27+$E$19)*(1-$E$10)+SUM(I$61:I$62)-I$60-I$63+I$64</x:f>
        <x:v>1620.882632670066</x:v>
      </x:c>
      <x:c r="J27" s="4" t="n">
        <x:f>(J$52*$C27+$E$19)*(1-$E$10)+SUM(J$61:J$62)-J$60-J$63+J$64</x:f>
        <x:v>1602.3648284074527</x:v>
      </x:c>
      <x:c r="K27" s="4" t="n">
        <x:f>(K$52*$C27+$E$19)*(1-$E$10)+SUM(K$61:K$62)-K$60-K$63+K$64</x:f>
        <x:v>1583.8470241448406</x:v>
      </x:c>
      <x:c r="L27" s="2"/>
      <x:c r="M27" s="2"/>
      <x:c r="N27" s="2"/>
      <x:c r="O27" s="2"/>
    </x:row>
    <x:row r="28" ht="22" customHeight="1">
      <x:c r="A28" s="2"/>
      <x:c r="B28" s="2"/>
      <x:c r="C28" s="61" t="n">
        <x:f>'Model'!K113+-0.01</x:f>
        <x:v>0.20299999999999999</x:v>
      </x:c>
      <x:c r="D28" s="2"/>
      <x:c r="E28" s="4" t="n">
        <x:f>(E$52*$C28+$E$19)*(1-$E$10)+SUM(E$61:E$62)-E$60-E$63+E$64</x:f>
        <x:v>1742.8740662921427</x:v>
      </x:c>
      <x:c r="F28" s="4" t="n">
        <x:f>(F$52*$C28+$E$19)*(1-$E$10)+SUM(F$61:F$62)-F$60-F$63+F$64</x:f>
        <x:v>1724.812645044498</x:v>
      </x:c>
      <x:c r="G28" s="4" t="n">
        <x:f>(G$52*$C28+$E$19)*(1-$E$10)+SUM(G$61:G$62)-G$60-G$63+G$64</x:f>
        <x:v>1706.751223796853</x:v>
      </x:c>
      <x:c r="H28" s="4" t="n">
        <x:f>(H$52*$C28+$E$19)*(1-$E$10)+SUM(H$61:H$62)-H$60-H$63+H$64</x:f>
        <x:v>1688.6898025492098</x:v>
      </x:c>
      <x:c r="I28" s="4" t="n">
        <x:f>(I$52*$C28+$E$19)*(1-$E$10)+SUM(I$61:I$62)-I$60-I$63+I$64</x:f>
        <x:v>1670.6283813015648</x:v>
      </x:c>
      <x:c r="J28" s="4" t="n">
        <x:f>(J$52*$C28+$E$19)*(1-$E$10)+SUM(J$61:J$62)-J$60-J$63+J$64</x:f>
        <x:v>1652.5669600539193</x:v>
      </x:c>
      <x:c r="K28" s="4" t="n">
        <x:f>(K$52*$C28+$E$19)*(1-$E$10)+SUM(K$61:K$62)-K$60-K$63+K$64</x:f>
        <x:v>1634.505538806275</x:v>
      </x:c>
      <x:c r="L28" s="2"/>
      <x:c r="M28" s="2"/>
      <x:c r="N28" s="2"/>
      <x:c r="O28" s="2"/>
    </x:row>
    <x:row r="29" ht="22" customHeight="1">
      <x:c r="A29" s="2"/>
      <x:c r="B29" s="2"/>
      <x:c r="C29" s="61" t="n">
        <x:f>'Model'!K113+-0.005</x:f>
        <x:v>0.208</x:v>
      </x:c>
      <x:c r="D29" s="2"/>
      <x:c r="E29" s="4" t="n">
        <x:f>(E$52*$C29+$E$19)*(1-$E$10)+SUM(E$61:E$62)-E$60-E$63+E$64</x:f>
        <x:v>1790.7942828637701</x:v>
      </x:c>
      <x:c r="F29" s="4" t="n">
        <x:f>(F$52*$C29+$E$19)*(1-$E$10)+SUM(F$61:F$62)-F$60-F$63+F$64</x:f>
        <x:v>1773.189244631093</x:v>
      </x:c>
      <x:c r="G29" s="4" t="n">
        <x:f>(G$52*$C29+$E$19)*(1-$E$10)+SUM(G$61:G$62)-G$60-G$63+G$64</x:f>
        <x:v>1755.5842063984164</x:v>
      </x:c>
      <x:c r="H29" s="4" t="n">
        <x:f>(H$52*$C29+$E$19)*(1-$E$10)+SUM(H$61:H$62)-H$60-H$63+H$64</x:f>
        <x:v>1737.9791681657405</x:v>
      </x:c>
      <x:c r="I29" s="4" t="n">
        <x:f>(I$52*$C29+$E$19)*(1-$E$10)+SUM(I$61:I$62)-I$60-I$63+I$64</x:f>
        <x:v>1720.3741299330636</x:v>
      </x:c>
      <x:c r="J29" s="4" t="n">
        <x:f>(J$52*$C29+$E$19)*(1-$E$10)+SUM(J$61:J$62)-J$60-J$63+J$64</x:f>
        <x:v>1702.7690917003858</x:v>
      </x:c>
      <x:c r="K29" s="4" t="n">
        <x:f>(K$52*$C29+$E$19)*(1-$E$10)+SUM(K$61:K$62)-K$60-K$63+K$64</x:f>
        <x:v>1685.1640534677097</x:v>
      </x:c>
      <x:c r="L29" s="2"/>
      <x:c r="M29" s="2"/>
      <x:c r="N29" s="2"/>
      <x:c r="O29" s="2"/>
    </x:row>
    <x:row r="30" ht="22" customHeight="1">
      <x:c r="A30" s="2"/>
      <x:c r="B30" s="2"/>
      <x:c r="C30" s="61" t="n">
        <x:f>'Model'!K113+0</x:f>
        <x:v>0.213</x:v>
      </x:c>
      <x:c r="D30" s="2"/>
      <x:c r="E30" s="4" t="n">
        <x:f>(E$52*$C30+$E$19)*(1-$E$10)+SUM(E$61:E$62)-E$60-E$63+E$64</x:f>
        <x:v>1838.7144994353976</x:v>
      </x:c>
      <x:c r="F30" s="4" t="n">
        <x:f>(F$52*$C30+$E$19)*(1-$E$10)+SUM(F$61:F$62)-F$60-F$63+F$64</x:f>
        <x:v>1821.5658442176882</x:v>
      </x:c>
      <x:c r="G30" s="4" t="n">
        <x:f>(G$52*$C30+$E$19)*(1-$E$10)+SUM(G$61:G$62)-G$60-G$63+G$64</x:f>
        <x:v>1804.4171889999798</x:v>
      </x:c>
      <x:c r="H30" s="62" t="n">
        <x:f>(H$52*$C30+$E$19)*(1-$E$10)+SUM(H$61:H$62)-H$60-H$63+H$64</x:f>
        <x:v>1787.2685337822716</x:v>
      </x:c>
      <x:c r="I30" s="4" t="n">
        <x:f>(I$52*$C30+$E$19)*(1-$E$10)+SUM(I$61:I$62)-I$60-I$63+I$64</x:f>
        <x:v>1770.1198785645624</x:v>
      </x:c>
      <x:c r="J30" s="4" t="n">
        <x:f>(J$52*$C30+$E$19)*(1-$E$10)+SUM(J$61:J$62)-J$60-J$63+J$64</x:f>
        <x:v>1752.9712233468529</x:v>
      </x:c>
      <x:c r="K30" s="4" t="n">
        <x:f>(K$52*$C30+$E$19)*(1-$E$10)+SUM(K$61:K$62)-K$60-K$63+K$64</x:f>
        <x:v>1735.8225681291444</x:v>
      </x:c>
      <x:c r="L30" s="2"/>
      <x:c r="M30" s="2"/>
      <x:c r="N30" s="2"/>
      <x:c r="O30" s="2"/>
    </x:row>
    <x:row r="31" ht="22" customHeight="1">
      <x:c r="A31" s="2"/>
      <x:c r="B31" s="2"/>
      <x:c r="C31" s="61" t="n">
        <x:f>'Model'!K113+0.005</x:f>
        <x:v>0.218</x:v>
      </x:c>
      <x:c r="D31" s="2"/>
      <x:c r="E31" s="4" t="n">
        <x:f>(E$52*$C31+$E$19)*(1-$E$10)+SUM(E$61:E$62)-E$60-E$63+E$64</x:f>
        <x:v>1886.6347160070254</x:v>
      </x:c>
      <x:c r="F31" s="4" t="n">
        <x:f>(F$52*$C31+$E$19)*(1-$E$10)+SUM(F$61:F$62)-F$60-F$63+F$64</x:f>
        <x:v>1869.9424438042834</x:v>
      </x:c>
      <x:c r="G31" s="4" t="n">
        <x:f>(G$52*$C31+$E$19)*(1-$E$10)+SUM(G$61:G$62)-G$60-G$63+G$64</x:f>
        <x:v>1853.2501716015431</x:v>
      </x:c>
      <x:c r="H31" s="4" t="n">
        <x:f>(H$52*$C31+$E$19)*(1-$E$10)+SUM(H$61:H$62)-H$60-H$63+H$64</x:f>
        <x:v>1836.557899398803</x:v>
      </x:c>
      <x:c r="I31" s="4" t="n">
        <x:f>(I$52*$C31+$E$19)*(1-$E$10)+SUM(I$61:I$62)-I$60-I$63+I$64</x:f>
        <x:v>1819.8656271960617</x:v>
      </x:c>
      <x:c r="J31" s="4" t="n">
        <x:f>(J$52*$C31+$E$19)*(1-$E$10)+SUM(J$61:J$62)-J$60-J$63+J$64</x:f>
        <x:v>1803.17335499332</x:v>
      </x:c>
      <x:c r="K31" s="4" t="n">
        <x:f>(K$52*$C31+$E$19)*(1-$E$10)+SUM(K$61:K$62)-K$60-K$63+K$64</x:f>
        <x:v>1786.4810827905792</x:v>
      </x:c>
      <x:c r="L31" s="2"/>
      <x:c r="M31" s="2"/>
      <x:c r="N31" s="2"/>
      <x:c r="O31" s="2"/>
    </x:row>
    <x:row r="32" ht="22" customHeight="1">
      <x:c r="A32" s="2"/>
      <x:c r="B32" s="2"/>
      <x:c r="C32" s="61" t="n">
        <x:f>'Model'!K113+0.01</x:f>
        <x:v>0.223</x:v>
      </x:c>
      <x:c r="D32" s="2"/>
      <x:c r="E32" s="4" t="n">
        <x:f>(E$52*$C32+$E$19)*(1-$E$10)+SUM(E$61:E$62)-E$60-E$63+E$64</x:f>
        <x:v>1934.5549325786528</x:v>
      </x:c>
      <x:c r="F32" s="4" t="n">
        <x:f>(F$52*$C32+$E$19)*(1-$E$10)+SUM(F$61:F$62)-F$60-F$63+F$64</x:f>
        <x:v>1918.3190433908794</x:v>
      </x:c>
      <x:c r="G32" s="4" t="n">
        <x:f>(G$52*$C32+$E$19)*(1-$E$10)+SUM(G$61:G$62)-G$60-G$63+G$64</x:f>
        <x:v>1902.0831542031065</x:v>
      </x:c>
      <x:c r="H32" s="4" t="n">
        <x:f>(H$52*$C32+$E$19)*(1-$E$10)+SUM(H$61:H$62)-H$60-H$63+H$64</x:f>
        <x:v>1885.8472650153342</x:v>
      </x:c>
      <x:c r="I32" s="4" t="n">
        <x:f>(I$52*$C32+$E$19)*(1-$E$10)+SUM(I$61:I$62)-I$60-I$63+I$64</x:f>
        <x:v>1869.6113758275606</x:v>
      </x:c>
      <x:c r="J32" s="4" t="n">
        <x:f>(J$52*$C32+$E$19)*(1-$E$10)+SUM(J$61:J$62)-J$60-J$63+J$64</x:f>
        <x:v>1853.375486639787</x:v>
      </x:c>
      <x:c r="K32" s="4" t="n">
        <x:f>(K$52*$C32+$E$19)*(1-$E$10)+SUM(K$61:K$62)-K$60-K$63+K$64</x:f>
        <x:v>1837.1395974520144</x:v>
      </x:c>
      <x:c r="L32" s="2"/>
      <x:c r="M32" s="2"/>
      <x:c r="N32" s="2"/>
      <x:c r="O32" s="2"/>
    </x:row>
    <x:row r="33" ht="22" customHeight="1">
      <x:c r="A33" s="2"/>
      <x:c r="B33" s="2"/>
      <x:c r="C33" s="61" t="n">
        <x:f>'Model'!K113+0.015</x:f>
        <x:v>0.22799999999999998</x:v>
      </x:c>
      <x:c r="D33" s="2"/>
      <x:c r="E33" s="4" t="n">
        <x:f>(E$52*$C33+$E$19)*(1-$E$10)+SUM(E$61:E$62)-E$60-E$63+E$64</x:f>
        <x:v>1982.4751491502798</x:v>
      </x:c>
      <x:c r="F33" s="4" t="n">
        <x:f>(F$52*$C33+$E$19)*(1-$E$10)+SUM(F$61:F$62)-F$60-F$63+F$64</x:f>
        <x:v>1966.6956429774746</x:v>
      </x:c>
      <x:c r="G33" s="4" t="n">
        <x:f>(G$52*$C33+$E$19)*(1-$E$10)+SUM(G$61:G$62)-G$60-G$63+G$64</x:f>
        <x:v>1950.916136804669</x:v>
      </x:c>
      <x:c r="H33" s="4" t="n">
        <x:f>(H$52*$C33+$E$19)*(1-$E$10)+SUM(H$61:H$62)-H$60-H$63+H$64</x:f>
        <x:v>1935.1366306318648</x:v>
      </x:c>
      <x:c r="I33" s="4" t="n">
        <x:f>(I$52*$C33+$E$19)*(1-$E$10)+SUM(I$61:I$62)-I$60-I$63+I$64</x:f>
        <x:v>1919.3571244590594</x:v>
      </x:c>
      <x:c r="J33" s="4" t="n">
        <x:f>(J$52*$C33+$E$19)*(1-$E$10)+SUM(J$61:J$62)-J$60-J$63+J$64</x:f>
        <x:v>1903.577618286253</x:v>
      </x:c>
      <x:c r="K33" s="4" t="n">
        <x:f>(K$52*$C33+$E$19)*(1-$E$10)+SUM(K$61:K$62)-K$60-K$63+K$64</x:f>
        <x:v>1887.7981121134487</x:v>
      </x:c>
      <x:c r="L33" s="2"/>
      <x:c r="M33" s="2"/>
      <x:c r="N33" s="2"/>
      <x:c r="O33" s="2"/>
    </x:row>
    <x:row r="34" ht="22" customHeight="1">
      <x:c r="A34" s="2"/>
      <x:c r="B34" s="2"/>
      <x:c r="C34" s="2"/>
      <x:c r="D34" s="2"/>
      <x:c r="E34" s="4"/>
      <x:c r="F34" s="4"/>
      <x:c r="G34" s="4"/>
      <x:c r="H34" s="4"/>
      <x:c r="I34" s="4"/>
      <x:c r="J34" s="4"/>
      <x:c r="K34" s="4"/>
      <x:c r="L34" s="2"/>
      <x:c r="M34" s="2"/>
      <x:c r="N34" s="2"/>
      <x:c r="O34" s="2"/>
    </x:row>
    <x:row r="35" ht="22" customHeight="1">
      <x:c r="A35" s="2"/>
      <x:c r="B35" s="2"/>
      <x:c r="C35" s="2"/>
      <x:c r="D35" s="2"/>
      <x:c r="E35" s="4"/>
      <x:c r="F35" s="4"/>
      <x:c r="G35" s="4"/>
      <x:c r="H35" s="4"/>
      <x:c r="I35" s="4"/>
      <x:c r="J35" s="4"/>
      <x:c r="K35" s="4"/>
      <x:c r="L35" s="2"/>
      <x:c r="M35" s="2"/>
      <x:c r="N35" s="2"/>
      <x:c r="O35" s="2"/>
    </x:row>
    <x:row r="36" ht="26" customHeight="1">
      <x:c r="A36" s="2"/>
      <x:c r="B36" s="2"/>
      <x:c r="C36" s="26" t="str">
        <x:v>FY2030 diluted EPS ($/share) · same operating assumptions</x:v>
      </x:c>
      <x:c r="D36" s="26" t="str">
        <x:v>FY2030 diluted EPS ($/share) · same operating assumptions</x:v>
      </x:c>
      <x:c r="E36" s="27" t="str">
        <x:v>FY2030 diluted EPS ($/share) · same operating assumptions</x:v>
      </x:c>
      <x:c r="F36" s="27" t="str">
        <x:v>FY2030 diluted EPS ($/share) · same operating assumptions</x:v>
      </x:c>
      <x:c r="G36" s="27" t="str">
        <x:v>FY2030 diluted EPS ($/share) · same operating assumptions</x:v>
      </x:c>
      <x:c r="H36" s="27" t="str">
        <x:v>FY2030 diluted EPS ($/share) · same operating assumptions</x:v>
      </x:c>
      <x:c r="I36" s="27" t="str">
        <x:v>FY2030 diluted EPS ($/share) · same operating assumptions</x:v>
      </x:c>
      <x:c r="J36" s="27" t="str">
        <x:v>FY2030 diluted EPS ($/share) · same operating assumptions</x:v>
      </x:c>
      <x:c r="K36" s="27" t="str">
        <x:v>FY2030 diluted EPS ($/share) · same operating assumptions</x:v>
      </x:c>
      <x:c r="L36" s="2"/>
      <x:c r="M36" s="2"/>
      <x:c r="N36" s="2"/>
      <x:c r="O36" s="2"/>
    </x:row>
    <x:row r="37" ht="22" customHeight="1">
      <x:c r="A37" s="2"/>
      <x:c r="B37" s="2"/>
      <x:c r="C37" s="2"/>
      <x:c r="D37" s="2"/>
      <x:c r="E37" s="4"/>
      <x:c r="F37" s="4"/>
      <x:c r="G37" s="4"/>
      <x:c r="H37" s="4"/>
      <x:c r="I37" s="4"/>
      <x:c r="J37" s="4"/>
      <x:c r="K37" s="4"/>
      <x:c r="L37" s="2"/>
      <x:c r="M37" s="2"/>
      <x:c r="N37" s="2"/>
      <x:c r="O37" s="2"/>
    </x:row>
    <x:row r="38" ht="22" customHeight="1">
      <x:c r="A38" s="2"/>
      <x:c r="B38" s="2"/>
      <x:c r="C38" s="2"/>
      <x:c r="D38" s="2"/>
      <x:c r="E38" s="44" t="n">
        <x:f>E26</x:f>
        <x:v>0.05</x:v>
      </x:c>
      <x:c r="F38" s="44" t="n">
        <x:f>F26</x:f>
        <x:v>0.06</x:v>
      </x:c>
      <x:c r="G38" s="44" t="n">
        <x:f>G26</x:f>
        <x:v>0.07</x:v>
      </x:c>
      <x:c r="H38" s="44" t="n">
        <x:f>H26</x:f>
        <x:v>0.08</x:v>
      </x:c>
      <x:c r="I38" s="44" t="n">
        <x:f>I26</x:f>
        <x:v>0.09</x:v>
      </x:c>
      <x:c r="J38" s="44" t="n">
        <x:f>J26</x:f>
        <x:v>0.1</x:v>
      </x:c>
      <x:c r="K38" s="44" t="n">
        <x:f>K26</x:f>
        <x:v>0.11</x:v>
      </x:c>
      <x:c r="L38" s="2"/>
      <x:c r="M38" s="2"/>
      <x:c r="N38" s="2"/>
      <x:c r="O38" s="2"/>
    </x:row>
    <x:row r="39" ht="22" customHeight="1">
      <x:c r="A39" s="2"/>
      <x:c r="B39" s="2"/>
      <x:c r="C39" s="63" t="n">
        <x:f>C27</x:f>
        <x:v>0.198</x:v>
      </x:c>
      <x:c r="D39" s="2"/>
      <x:c r="E39" s="46" t="n">
        <x:f>(E$52*$C39+$E$19)*(1-$E$10)/$E$20</x:f>
        <x:v>1.6492617558112692</x:v>
      </x:c>
      <x:c r="F39" s="46" t="n">
        <x:f>(F$52*$C39+$E$19)*(1-$E$10)/$E$20</x:f>
        <x:v>1.6649690106285195</x:v>
      </x:c>
      <x:c r="G39" s="46" t="n">
        <x:f>(G$52*$C39+$E$19)*(1-$E$10)/$E$20</x:f>
        <x:v>1.6806762654457699</x:v>
      </x:c>
      <x:c r="H39" s="46" t="n">
        <x:f>(H$52*$C39+$E$19)*(1-$E$10)/$E$20</x:f>
        <x:v>1.6963835202630195</x:v>
      </x:c>
      <x:c r="I39" s="46" t="n">
        <x:f>(I$52*$C39+$E$19)*(1-$E$10)/$E$20</x:f>
        <x:v>1.7120907750802699</x:v>
      </x:c>
      <x:c r="J39" s="46" t="n">
        <x:f>(J$52*$C39+$E$19)*(1-$E$10)/$E$20</x:f>
        <x:v>1.7277980298975202</x:v>
      </x:c>
      <x:c r="K39" s="46" t="n">
        <x:f>(K$52*$C39+$E$19)*(1-$E$10)/$E$20</x:f>
        <x:v>1.7435052847147705</x:v>
      </x:c>
      <x:c r="L39" s="2"/>
      <x:c r="M39" s="2"/>
      <x:c r="N39" s="2"/>
      <x:c r="O39" s="2"/>
    </x:row>
    <x:row r="40" ht="22" customHeight="1">
      <x:c r="A40" s="2"/>
      <x:c r="B40" s="2"/>
      <x:c r="C40" s="63" t="n">
        <x:f>C28</x:f>
        <x:v>0.20299999999999999</x:v>
      </x:c>
      <x:c r="D40" s="2"/>
      <x:c r="E40" s="46" t="n">
        <x:f>(E$52*$C40+$E$19)*(1-$E$10)/$E$20</x:f>
        <x:v>1.6909097799479176</x:v>
      </x:c>
      <x:c r="F40" s="46" t="n">
        <x:f>(F$52*$C40+$E$19)*(1-$E$10)/$E$20</x:f>
        <x:v>1.7070136826140878</x:v>
      </x:c>
      <x:c r="G40" s="46" t="n">
        <x:f>(G$52*$C40+$E$19)*(1-$E$10)/$E$20</x:f>
        <x:v>1.7231175852802585</x:v>
      </x:c>
      <x:c r="H40" s="46" t="n">
        <x:f>(H$52*$C40+$E$19)*(1-$E$10)/$E$20</x:f>
        <x:v>1.7392214879464292</x:v>
      </x:c>
      <x:c r="I40" s="46" t="n">
        <x:f>(I$52*$C40+$E$19)*(1-$E$10)/$E$20</x:f>
        <x:v>1.7553253906125998</x:v>
      </x:c>
      <x:c r="J40" s="46" t="n">
        <x:f>(J$52*$C40+$E$19)*(1-$E$10)/$E$20</x:f>
        <x:v>1.7714292932787705</x:v>
      </x:c>
      <x:c r="K40" s="46" t="n">
        <x:f>(K$52*$C40+$E$19)*(1-$E$10)/$E$20</x:f>
        <x:v>1.7875331959449412</x:v>
      </x:c>
      <x:c r="L40" s="2"/>
      <x:c r="M40" s="2"/>
      <x:c r="N40" s="2"/>
      <x:c r="O40" s="2"/>
    </x:row>
    <x:row r="41" ht="22" customHeight="1">
      <x:c r="A41" s="2"/>
      <x:c r="B41" s="2"/>
      <x:c r="C41" s="63" t="n">
        <x:f>C29</x:f>
        <x:v>0.208</x:v>
      </x:c>
      <x:c r="D41" s="2"/>
      <x:c r="E41" s="46" t="n">
        <x:f>(E$52*$C41+$E$19)*(1-$E$10)/$E$20</x:f>
        <x:v>1.7325578040845657</x:v>
      </x:c>
      <x:c r="F41" s="46" t="n">
        <x:f>(F$52*$C41+$E$19)*(1-$E$10)/$E$20</x:f>
        <x:v>1.7490583545996568</x:v>
      </x:c>
      <x:c r="G41" s="46" t="n">
        <x:f>(G$52*$C41+$E$19)*(1-$E$10)/$E$20</x:f>
        <x:v>1.7655589051147478</x:v>
      </x:c>
      <x:c r="H41" s="46" t="n">
        <x:f>(H$52*$C41+$E$19)*(1-$E$10)/$E$20</x:f>
        <x:v>1.7820594556298386</x:v>
      </x:c>
      <x:c r="I41" s="46" t="n">
        <x:f>(I$52*$C41+$E$19)*(1-$E$10)/$E$20</x:f>
        <x:v>1.7985600061449298</x:v>
      </x:c>
      <x:c r="J41" s="46" t="n">
        <x:f>(J$52*$C41+$E$19)*(1-$E$10)/$E$20</x:f>
        <x:v>1.8150605566600209</x:v>
      </x:c>
      <x:c r="K41" s="46" t="n">
        <x:f>(K$52*$C41+$E$19)*(1-$E$10)/$E$20</x:f>
        <x:v>1.8315611071751121</x:v>
      </x:c>
      <x:c r="L41" s="2"/>
      <x:c r="M41" s="2"/>
      <x:c r="N41" s="2"/>
      <x:c r="O41" s="2"/>
    </x:row>
    <x:row r="42" ht="22" customHeight="1">
      <x:c r="A42" s="2"/>
      <x:c r="B42" s="2"/>
      <x:c r="C42" s="63" t="n">
        <x:f>C30</x:f>
        <x:v>0.213</x:v>
      </x:c>
      <x:c r="D42" s="2"/>
      <x:c r="E42" s="46" t="n">
        <x:f>(E$52*$C42+$E$19)*(1-$E$10)/$E$20</x:f>
        <x:v>1.7742058282212139</x:v>
      </x:c>
      <x:c r="F42" s="46" t="n">
        <x:f>(F$52*$C42+$E$19)*(1-$E$10)/$E$20</x:f>
        <x:v>1.7911030265852255</x:v>
      </x:c>
      <x:c r="G42" s="46" t="n">
        <x:f>(G$52*$C42+$E$19)*(1-$E$10)/$E$20</x:f>
        <x:v>1.808000224949237</x:v>
      </x:c>
      <x:c r="H42" s="64" t="n">
        <x:f>(H$52*$C42+$E$19)*(1-$E$10)/$E$20</x:f>
        <x:v>1.8248974233132482</x:v>
      </x:c>
      <x:c r="I42" s="46" t="n">
        <x:f>(I$52*$C42+$E$19)*(1-$E$10)/$E$20</x:f>
        <x:v>1.8417946216772598</x:v>
      </x:c>
      <x:c r="J42" s="46" t="n">
        <x:f>(J$52*$C42+$E$19)*(1-$E$10)/$E$20</x:f>
        <x:v>1.8586918200412714</x:v>
      </x:c>
      <x:c r="K42" s="46" t="n">
        <x:f>(K$52*$C42+$E$19)*(1-$E$10)/$E$20</x:f>
        <x:v>1.8755890184052832</x:v>
      </x:c>
      <x:c r="L42" s="2"/>
      <x:c r="M42" s="2"/>
      <x:c r="N42" s="2"/>
      <x:c r="O42" s="2"/>
    </x:row>
    <x:row r="43" ht="22" customHeight="1">
      <x:c r="A43" s="2"/>
      <x:c r="B43" s="2"/>
      <x:c r="C43" s="63" t="n">
        <x:f>C31</x:f>
        <x:v>0.218</x:v>
      </x:c>
      <x:c r="D43" s="2"/>
      <x:c r="E43" s="46" t="n">
        <x:f>(E$52*$C43+$E$19)*(1-$E$10)/$E$20</x:f>
        <x:v>1.8158538523578622</x:v>
      </x:c>
      <x:c r="F43" s="46" t="n">
        <x:f>(F$52*$C43+$E$19)*(1-$E$10)/$E$20</x:f>
        <x:v>1.833147698570794</x:v>
      </x:c>
      <x:c r="G43" s="46" t="n">
        <x:f>(G$52*$C43+$E$19)*(1-$E$10)/$E$20</x:f>
        <x:v>1.8504415447837264</x:v>
      </x:c>
      <x:c r="H43" s="46" t="n">
        <x:f>(H$52*$C43+$E$19)*(1-$E$10)/$E$20</x:f>
        <x:v>1.8677353909966583</x:v>
      </x:c>
      <x:c r="I43" s="46" t="n">
        <x:f>(I$52*$C43+$E$19)*(1-$E$10)/$E$20</x:f>
        <x:v>1.8850292372095903</x:v>
      </x:c>
      <x:c r="J43" s="46" t="n">
        <x:f>(J$52*$C43+$E$19)*(1-$E$10)/$E$20</x:f>
        <x:v>1.9023230834225222</x:v>
      </x:c>
      <x:c r="K43" s="46" t="n">
        <x:f>(K$52*$C43+$E$19)*(1-$E$10)/$E$20</x:f>
        <x:v>1.9196169296354542</x:v>
      </x:c>
      <x:c r="L43" s="2"/>
      <x:c r="M43" s="2"/>
      <x:c r="N43" s="2"/>
      <x:c r="O43" s="2"/>
    </x:row>
    <x:row r="44" ht="22" customHeight="1">
      <x:c r="A44" s="2"/>
      <x:c r="B44" s="2"/>
      <x:c r="C44" s="63" t="n">
        <x:f>C32</x:f>
        <x:v>0.223</x:v>
      </x:c>
      <x:c r="D44" s="2"/>
      <x:c r="E44" s="46" t="n">
        <x:f>(E$52*$C44+$E$19)*(1-$E$10)/$E$20</x:f>
        <x:v>1.8575018764945106</x:v>
      </x:c>
      <x:c r="F44" s="46" t="n">
        <x:f>(F$52*$C44+$E$19)*(1-$E$10)/$E$20</x:f>
        <x:v>1.875192370556363</x:v>
      </x:c>
      <x:c r="G44" s="46" t="n">
        <x:f>(G$52*$C44+$E$19)*(1-$E$10)/$E$20</x:f>
        <x:v>1.8928828646182152</x:v>
      </x:c>
      <x:c r="H44" s="46" t="n">
        <x:f>(H$52*$C44+$E$19)*(1-$E$10)/$E$20</x:f>
        <x:v>1.910573358680068</x:v>
      </x:c>
      <x:c r="I44" s="46" t="n">
        <x:f>(I$52*$C44+$E$19)*(1-$E$10)/$E$20</x:f>
        <x:v>1.9282638527419202</x:v>
      </x:c>
      <x:c r="J44" s="46" t="n">
        <x:f>(J$52*$C44+$E$19)*(1-$E$10)/$E$20</x:f>
        <x:v>1.9459543468037728</x:v>
      </x:c>
      <x:c r="K44" s="46" t="n">
        <x:f>(K$52*$C44+$E$19)*(1-$E$10)/$E$20</x:f>
        <x:v>1.9636448408656255</x:v>
      </x:c>
      <x:c r="L44" s="2"/>
      <x:c r="M44" s="2"/>
      <x:c r="N44" s="2"/>
      <x:c r="O44" s="2"/>
    </x:row>
    <x:row r="45" ht="22" customHeight="1">
      <x:c r="A45" s="2"/>
      <x:c r="B45" s="2"/>
      <x:c r="C45" s="63" t="n">
        <x:f>C33</x:f>
        <x:v>0.22799999999999998</x:v>
      </x:c>
      <x:c r="D45" s="2"/>
      <x:c r="E45" s="46" t="n">
        <x:f>(E$52*$C45+$E$19)*(1-$E$10)/$E$20</x:f>
        <x:v>1.8991499006311583</x:v>
      </x:c>
      <x:c r="F45" s="46" t="n">
        <x:f>(F$52*$C45+$E$19)*(1-$E$10)/$E$20</x:f>
        <x:v>1.9172370425419314</x:v>
      </x:c>
      <x:c r="G45" s="46" t="n">
        <x:f>(G$52*$C45+$E$19)*(1-$E$10)/$E$20</x:f>
        <x:v>1.935324184452704</x:v>
      </x:c>
      <x:c r="H45" s="46" t="n">
        <x:f>(H$52*$C45+$E$19)*(1-$E$10)/$E$20</x:f>
        <x:v>1.9534113263634771</x:v>
      </x:c>
      <x:c r="I45" s="46" t="n">
        <x:f>(I$52*$C45+$E$19)*(1-$E$10)/$E$20</x:f>
        <x:v>1.97149846827425</x:v>
      </x:c>
      <x:c r="J45" s="46" t="n">
        <x:f>(J$52*$C45+$E$19)*(1-$E$10)/$E$20</x:f>
        <x:v>1.9895856101850227</x:v>
      </x:c>
      <x:c r="K45" s="46" t="n">
        <x:f>(K$52*$C45+$E$19)*(1-$E$10)/$E$20</x:f>
        <x:v>2.007672752095796</x:v>
      </x:c>
      <x:c r="L45" s="2"/>
      <x:c r="M45" s="2"/>
      <x:c r="N45" s="2"/>
      <x:c r="O45" s="2"/>
    </x:row>
    <x:row r="46" ht="22" customHeight="1">
      <x:c r="A46" s="2"/>
      <x:c r="B46" s="2"/>
      <x:c r="C46" s="2"/>
      <x:c r="D46" s="2"/>
      <x:c r="E46" s="4"/>
      <x:c r="F46" s="4"/>
      <x:c r="G46" s="4"/>
      <x:c r="H46" s="4"/>
      <x:c r="I46" s="4"/>
      <x:c r="J46" s="4"/>
      <x:c r="K46" s="4"/>
      <x:c r="L46" s="2"/>
      <x:c r="M46" s="2"/>
      <x:c r="N46" s="2"/>
      <x:c r="O46" s="2"/>
    </x:row>
    <x:row r="47" ht="22" customHeight="1">
      <x:c r="A47" s="2"/>
      <x:c r="B47" s="2"/>
      <x:c r="C47" s="2"/>
      <x:c r="D47" s="2"/>
      <x:c r="E47" s="4"/>
      <x:c r="F47" s="4"/>
      <x:c r="G47" s="4"/>
      <x:c r="H47" s="4"/>
      <x:c r="I47" s="4"/>
      <x:c r="J47" s="4"/>
      <x:c r="K47" s="4"/>
      <x:c r="L47" s="2"/>
      <x:c r="M47" s="2"/>
      <x:c r="N47" s="2"/>
      <x:c r="O47" s="2"/>
    </x:row>
    <x:row r="48" ht="26" customHeight="1">
      <x:c r="A48" s="2"/>
      <x:c r="B48" s="2"/>
      <x:c r="C48" s="26" t="str">
        <x:v>Calculation detail · one column per growth assumption</x:v>
      </x:c>
      <x:c r="D48" s="26" t="str">
        <x:v>Calculation detail · one column per growth assumption</x:v>
      </x:c>
      <x:c r="E48" s="27" t="str">
        <x:v>Calculation detail · one column per growth assumption</x:v>
      </x:c>
      <x:c r="F48" s="27" t="str">
        <x:v>Calculation detail · one column per growth assumption</x:v>
      </x:c>
      <x:c r="G48" s="27" t="str">
        <x:v>Calculation detail · one column per growth assumption</x:v>
      </x:c>
      <x:c r="H48" s="27" t="str">
        <x:v>Calculation detail · one column per growth assumption</x:v>
      </x:c>
      <x:c r="I48" s="27" t="str">
        <x:v>Calculation detail · one column per growth assumption</x:v>
      </x:c>
      <x:c r="J48" s="27" t="str">
        <x:v>Calculation detail · one column per growth assumption</x:v>
      </x:c>
      <x:c r="K48" s="27" t="str">
        <x:v>Calculation detail · one column per growth assumption</x:v>
      </x:c>
      <x:c r="L48" s="2"/>
      <x:c r="M48" s="2"/>
      <x:c r="N48" s="2"/>
      <x:c r="O48" s="2"/>
    </x:row>
    <x:row r="49" ht="22" customHeight="1">
      <x:c r="A49" s="2"/>
      <x:c r="B49" s="2"/>
      <x:c r="C49" s="2"/>
      <x:c r="D49" s="2"/>
      <x:c r="E49" s="4"/>
      <x:c r="F49" s="4"/>
      <x:c r="G49" s="4"/>
      <x:c r="H49" s="4"/>
      <x:c r="I49" s="4"/>
      <x:c r="J49" s="4"/>
      <x:c r="K49" s="4"/>
      <x:c r="L49" s="2"/>
      <x:c r="M49" s="2"/>
      <x:c r="N49" s="2"/>
      <x:c r="O49" s="2"/>
    </x:row>
    <x:row r="50" ht="22" customHeight="1">
      <x:c r="A50" s="2"/>
      <x:c r="B50" s="2"/>
      <x:c r="C50" s="2" t="str">
        <x:v>FY2030 revenue growth</x:v>
      </x:c>
      <x:c r="D50" s="2"/>
      <x:c r="E50" s="44" t="n">
        <x:f>E26</x:f>
        <x:v>0.05</x:v>
      </x:c>
      <x:c r="F50" s="44" t="n">
        <x:f>F26</x:f>
        <x:v>0.06</x:v>
      </x:c>
      <x:c r="G50" s="44" t="n">
        <x:f>G26</x:f>
        <x:v>0.07</x:v>
      </x:c>
      <x:c r="H50" s="44" t="n">
        <x:f>H26</x:f>
        <x:v>0.08</x:v>
      </x:c>
      <x:c r="I50" s="44" t="n">
        <x:f>I26</x:f>
        <x:v>0.09</x:v>
      </x:c>
      <x:c r="J50" s="44" t="n">
        <x:f>J26</x:f>
        <x:v>0.1</x:v>
      </x:c>
      <x:c r="K50" s="44" t="n">
        <x:f>K26</x:f>
        <x:v>0.11</x:v>
      </x:c>
      <x:c r="L50" s="2"/>
      <x:c r="M50" s="2"/>
      <x:c r="N50" s="2"/>
      <x:c r="O50" s="2"/>
    </x:row>
    <x:row r="51" ht="22" customHeight="1">
      <x:c r="A51" s="2"/>
      <x:c r="B51" s="2"/>
      <x:c r="C51" s="2"/>
      <x:c r="D51" s="2"/>
      <x:c r="E51" s="4"/>
      <x:c r="F51" s="4"/>
      <x:c r="G51" s="4"/>
      <x:c r="H51" s="4"/>
      <x:c r="I51" s="4"/>
      <x:c r="J51" s="4"/>
      <x:c r="K51" s="4"/>
      <x:c r="L51" s="2"/>
      <x:c r="M51" s="2"/>
      <x:c r="N51" s="2"/>
      <x:c r="O51" s="2"/>
    </x:row>
    <x:row r="52" ht="22" customHeight="1">
      <x:c r="A52" s="2"/>
      <x:c r="B52" s="2"/>
      <x:c r="C52" s="2" t="str">
        <x:v>Revenue</x:v>
      </x:c>
      <x:c r="D52" s="2"/>
      <x:c r="E52" s="4" t="n">
        <x:f>$E$8*(1+E50)</x:f>
        <x:v>12710.932777620008</x:v>
      </x:c>
      <x:c r="F52" s="4" t="n">
        <x:f>$E$8*(1+F50)</x:f>
        <x:v>12831.989280264008</x:v>
      </x:c>
      <x:c r="G52" s="4" t="n">
        <x:f>$E$8*(1+G50)</x:f>
        <x:v>12953.045782908008</x:v>
      </x:c>
      <x:c r="H52" s="4" t="n">
        <x:f>$E$8*(1+H50)</x:f>
        <x:v>13074.102285552008</x:v>
      </x:c>
      <x:c r="I52" s="4" t="n">
        <x:f>$E$8*(1+I50)</x:f>
        <x:v>13195.158788196008</x:v>
      </x:c>
      <x:c r="J52" s="4" t="n">
        <x:f>$E$8*(1+J50)</x:f>
        <x:v>13316.215290840008</x:v>
      </x:c>
      <x:c r="K52" s="4" t="n">
        <x:f>$E$8*(1+K50)</x:f>
        <x:v>13437.27179348401</x:v>
      </x:c>
      <x:c r="L52" s="2"/>
      <x:c r="M52" s="2"/>
      <x:c r="N52" s="2"/>
      <x:c r="O52" s="2"/>
    </x:row>
    <x:row r="53" ht="22" customHeight="1">
      <x:c r="A53" s="2"/>
      <x:c r="B53" s="2"/>
      <x:c r="C53" s="2" t="str">
        <x:v>Cost of sales</x:v>
      </x:c>
      <x:c r="D53" s="2"/>
      <x:c r="E53" s="4" t="n">
        <x:f>E52*(1-$E$9)</x:f>
        <x:v>7067.278624356725</x:v>
      </x:c>
      <x:c r="F53" s="4" t="n">
        <x:f>F52*(1-$E$9)</x:f>
        <x:v>7134.586039826789</x:v>
      </x:c>
      <x:c r="G53" s="4" t="n">
        <x:f>G52*(1-$E$9)</x:f>
        <x:v>7201.893455296853</x:v>
      </x:c>
      <x:c r="H53" s="4" t="n">
        <x:f>H52*(1-$E$9)</x:f>
        <x:v>7269.2008707669165</x:v>
      </x:c>
      <x:c r="I53" s="4" t="n">
        <x:f>I52*(1-$E$9)</x:f>
        <x:v>7336.508286236981</x:v>
      </x:c>
      <x:c r="J53" s="4" t="n">
        <x:f>J52*(1-$E$9)</x:f>
        <x:v>7403.815701707045</x:v>
      </x:c>
      <x:c r="K53" s="4" t="n">
        <x:f>K52*(1-$E$9)</x:f>
        <x:v>7471.12311717711</x:v>
      </x:c>
      <x:c r="L53" s="2"/>
      <x:c r="M53" s="2"/>
      <x:c r="N53" s="2"/>
      <x:c r="O53" s="2"/>
    </x:row>
    <x:row r="54" ht="22" customHeight="1">
      <x:c r="A54" s="2"/>
      <x:c r="B54" s="2"/>
      <x:c r="C54" s="2" t="str">
        <x:v>Trade receivables</x:v>
      </x:c>
      <x:c r="D54" s="2"/>
      <x:c r="E54" s="4" t="n">
        <x:f>E52*$E$11/365</x:f>
        <x:v>1915.3460349838367</x:v>
      </x:c>
      <x:c r="F54" s="4" t="n">
        <x:f>F52*$E$11/365</x:f>
        <x:v>1933.5874257932066</x:v>
      </x:c>
      <x:c r="G54" s="4" t="n">
        <x:f>G52*$E$11/365</x:f>
        <x:v>1951.8288166025766</x:v>
      </x:c>
      <x:c r="H54" s="4" t="n">
        <x:f>H52*$E$11/365</x:f>
        <x:v>1970.0702074119463</x:v>
      </x:c>
      <x:c r="I54" s="4" t="n">
        <x:f>I52*$E$11/365</x:f>
        <x:v>1988.3115982213162</x:v>
      </x:c>
      <x:c r="J54" s="4" t="n">
        <x:f>J52*$E$11/365</x:f>
        <x:v>2006.5529890306861</x:v>
      </x:c>
      <x:c r="K54" s="4" t="n">
        <x:f>K52*$E$11/365</x:f>
        <x:v>2024.794379840056</x:v>
      </x:c>
      <x:c r="L54" s="2"/>
      <x:c r="M54" s="2"/>
      <x:c r="N54" s="2"/>
      <x:c r="O54" s="2"/>
    </x:row>
    <x:row r="55" ht="22" customHeight="1">
      <x:c r="A55" s="2"/>
      <x:c r="B55" s="2"/>
      <x:c r="C55" s="2" t="str">
        <x:v>Inventory</x:v>
      </x:c>
      <x:c r="D55" s="2"/>
      <x:c r="E55" s="4" t="n">
        <x:f>E53*$E$12/365</x:f>
        <x:v>2555.8377490824323</x:v>
      </x:c>
      <x:c r="F55" s="4" t="n">
        <x:f>F53*$E$12/365</x:f>
        <x:v>2580.1790609784553</x:v>
      </x:c>
      <x:c r="G55" s="4" t="n">
        <x:f>G53*$E$12/365</x:f>
        <x:v>2604.520372874478</x:v>
      </x:c>
      <x:c r="H55" s="4" t="n">
        <x:f>H53*$E$12/365</x:f>
        <x:v>2628.861684770501</x:v>
      </x:c>
      <x:c r="I55" s="4" t="n">
        <x:f>I53*$E$12/365</x:f>
        <x:v>2653.2029966665245</x:v>
      </x:c>
      <x:c r="J55" s="4" t="n">
        <x:f>J53*$E$12/365</x:f>
        <x:v>2677.544308562548</x:v>
      </x:c>
      <x:c r="K55" s="4" t="n">
        <x:f>K53*$E$12/365</x:f>
        <x:v>2701.8856204585713</x:v>
      </x:c>
      <x:c r="L55" s="2"/>
      <x:c r="M55" s="2"/>
      <x:c r="N55" s="2"/>
      <x:c r="O55" s="2"/>
    </x:row>
    <x:row r="56" ht="22" customHeight="1">
      <x:c r="A56" s="2"/>
      <x:c r="B56" s="2"/>
      <x:c r="C56" s="2" t="str">
        <x:v>Accounts payable</x:v>
      </x:c>
      <x:c r="D56" s="2"/>
      <x:c r="E56" s="4" t="n">
        <x:f>E53*$E$13/365</x:f>
        <x:v>580.8722157005527</x:v>
      </x:c>
      <x:c r="F56" s="4" t="n">
        <x:f>F53*$E$13/365</x:f>
        <x:v>586.404332040558</x:v>
      </x:c>
      <x:c r="G56" s="4" t="n">
        <x:f>G53*$E$13/365</x:f>
        <x:v>591.9364483805632</x:v>
      </x:c>
      <x:c r="H56" s="4" t="n">
        <x:f>H53*$E$13/365</x:f>
        <x:v>597.4685647205685</x:v>
      </x:c>
      <x:c r="I56" s="4" t="n">
        <x:f>I53*$E$13/365</x:f>
        <x:v>603.0006810605738</x:v>
      </x:c>
      <x:c r="J56" s="4" t="n">
        <x:f>J53*$E$13/365</x:f>
        <x:v>608.532797400579</x:v>
      </x:c>
      <x:c r="K56" s="4" t="n">
        <x:f>K53*$E$13/365</x:f>
        <x:v>614.0649137405844</x:v>
      </x:c>
      <x:c r="L56" s="2"/>
      <x:c r="M56" s="2"/>
      <x:c r="N56" s="2"/>
      <x:c r="O56" s="2"/>
    </x:row>
    <x:row r="57" ht="22" customHeight="1">
      <x:c r="A57" s="2"/>
      <x:c r="B57" s="2"/>
      <x:c r="C57" s="2" t="str">
        <x:v>Other operating working capital</x:v>
      </x:c>
      <x:c r="D57" s="2"/>
      <x:c r="E57" s="4" t="n">
        <x:f>E52*$E$14</x:f>
        <x:v>-127.10932777620009</x:v>
      </x:c>
      <x:c r="F57" s="4" t="n">
        <x:f>F52*$E$14</x:f>
        <x:v>-128.31989280264008</x:v>
      </x:c>
      <x:c r="G57" s="4" t="n">
        <x:f>G52*$E$14</x:f>
        <x:v>-129.5304578290801</x:v>
      </x:c>
      <x:c r="H57" s="4" t="n">
        <x:f>H52*$E$14</x:f>
        <x:v>-130.74102285552007</x:v>
      </x:c>
      <x:c r="I57" s="4" t="n">
        <x:f>I52*$E$14</x:f>
        <x:v>-131.95158788196008</x:v>
      </x:c>
      <x:c r="J57" s="4" t="n">
        <x:f>J52*$E$14</x:f>
        <x:v>-133.1621529084001</x:v>
      </x:c>
      <x:c r="K57" s="4" t="n">
        <x:f>K52*$E$14</x:f>
        <x:v>-134.3727179348401</x:v>
      </x:c>
      <x:c r="L57" s="2"/>
      <x:c r="M57" s="2"/>
      <x:c r="N57" s="2"/>
      <x:c r="O57" s="2"/>
    </x:row>
    <x:row r="58" ht="22" customHeight="1">
      <x:c r="A58" s="2"/>
      <x:c r="B58" s="2"/>
      <x:c r="C58" s="2" t="str">
        <x:v>Closing operating working capital</x:v>
      </x:c>
      <x:c r="D58" s="2"/>
      <x:c r="E58" s="4" t="n">
        <x:f>SUM(E54:E55)-E56+E57</x:f>
        <x:v>3763.2022405895164</x:v>
      </x:c>
      <x:c r="F58" s="4" t="n">
        <x:f>SUM(F54:F55)-F56+F57</x:f>
        <x:v>3799.042261928464</x:v>
      </x:c>
      <x:c r="G58" s="4" t="n">
        <x:f>SUM(G54:G55)-G56+G57</x:f>
        <x:v>3834.882283267412</x:v>
      </x:c>
      <x:c r="H58" s="4" t="n">
        <x:f>SUM(H54:H55)-H56+H57</x:f>
        <x:v>3870.7223046063586</x:v>
      </x:c>
      <x:c r="I58" s="4" t="n">
        <x:f>SUM(I54:I55)-I56+I57</x:f>
        <x:v>3906.562325945307</x:v>
      </x:c>
      <x:c r="J58" s="4" t="n">
        <x:f>SUM(J54:J55)-J56+J57</x:f>
        <x:v>3942.4023472842555</x:v>
      </x:c>
      <x:c r="K58" s="4" t="n">
        <x:f>SUM(K54:K55)-K56+K57</x:f>
        <x:v>3978.2423686232028</x:v>
      </x:c>
      <x:c r="L58" s="2"/>
      <x:c r="M58" s="2"/>
      <x:c r="N58" s="2"/>
      <x:c r="O58" s="2"/>
    </x:row>
    <x:row r="59" ht="22" customHeight="1">
      <x:c r="A59" s="2"/>
      <x:c r="B59" s="2"/>
      <x:c r="C59" s="2" t="str">
        <x:v>Opening operating working capital</x:v>
      </x:c>
      <x:c r="D59" s="2"/>
      <x:c r="E59" s="4" t="n">
        <x:f>$E$21</x:f>
        <x:v>3639.3232972948294</x:v>
      </x:c>
      <x:c r="F59" s="4" t="n">
        <x:f>$E$21</x:f>
        <x:v>3639.3232972948294</x:v>
      </x:c>
      <x:c r="G59" s="4" t="n">
        <x:f>$E$21</x:f>
        <x:v>3639.3232972948294</x:v>
      </x:c>
      <x:c r="H59" s="4" t="n">
        <x:f>$E$21</x:f>
        <x:v>3639.3232972948294</x:v>
      </x:c>
      <x:c r="I59" s="4" t="n">
        <x:f>$E$21</x:f>
        <x:v>3639.3232972948294</x:v>
      </x:c>
      <x:c r="J59" s="4" t="n">
        <x:f>$E$21</x:f>
        <x:v>3639.3232972948294</x:v>
      </x:c>
      <x:c r="K59" s="4" t="n">
        <x:f>$E$21</x:f>
        <x:v>3639.3232972948294</x:v>
      </x:c>
      <x:c r="L59" s="2"/>
      <x:c r="M59" s="2"/>
      <x:c r="N59" s="2"/>
      <x:c r="O59" s="2"/>
    </x:row>
    <x:row r="60" ht="22" customHeight="1">
      <x:c r="A60" s="2"/>
      <x:c r="B60" s="2"/>
      <x:c r="C60" s="2" t="str">
        <x:v>Increase / (release) in NWC</x:v>
      </x:c>
      <x:c r="D60" s="2"/>
      <x:c r="E60" s="4" t="n">
        <x:f>E58-E59</x:f>
        <x:v>123.8789432946869</x:v>
      </x:c>
      <x:c r="F60" s="4" t="n">
        <x:f>F58-F59</x:f>
        <x:v>159.71896463363464</x:v>
      </x:c>
      <x:c r="G60" s="4" t="n">
        <x:f>G58-G59</x:f>
        <x:v>195.55898597258238</x:v>
      </x:c>
      <x:c r="H60" s="4" t="n">
        <x:f>H58-H59</x:f>
        <x:v>231.3990073115292</x:v>
      </x:c>
      <x:c r="I60" s="4" t="n">
        <x:f>I58-I59</x:f>
        <x:v>267.2390286504774</x:v>
      </x:c>
      <x:c r="J60" s="4" t="n">
        <x:f>J58-J59</x:f>
        <x:v>303.07904998942604</x:v>
      </x:c>
      <x:c r="K60" s="4" t="n">
        <x:f>K58-K59</x:f>
        <x:v>338.9190713283733</x:v>
      </x:c>
      <x:c r="L60" s="2"/>
      <x:c r="M60" s="2"/>
      <x:c r="N60" s="2"/>
      <x:c r="O60" s="2"/>
    </x:row>
    <x:row r="61" ht="22" customHeight="1">
      <x:c r="A61" s="2"/>
      <x:c r="B61" s="2"/>
      <x:c r="C61" s="2" t="str">
        <x:v>D&amp;A</x:v>
      </x:c>
      <x:c r="D61" s="2"/>
      <x:c r="E61" s="4" t="n">
        <x:f>E52*$E$15</x:f>
        <x:v>266.9295883300202</x:v>
      </x:c>
      <x:c r="F61" s="4" t="n">
        <x:f>F52*$E$15</x:f>
        <x:v>269.47177488554416</x:v>
      </x:c>
      <x:c r="G61" s="4" t="n">
        <x:f>G52*$E$15</x:f>
        <x:v>272.0139614410682</x:v>
      </x:c>
      <x:c r="H61" s="4" t="n">
        <x:f>H52*$E$15</x:f>
        <x:v>274.5561479965922</x:v>
      </x:c>
      <x:c r="I61" s="4" t="n">
        <x:f>I52*$E$15</x:f>
        <x:v>277.09833455211617</x:v>
      </x:c>
      <x:c r="J61" s="4" t="n">
        <x:f>J52*$E$15</x:f>
        <x:v>279.64052110764015</x:v>
      </x:c>
      <x:c r="K61" s="4" t="n">
        <x:f>K52*$E$15</x:f>
        <x:v>282.1827076631642</x:v>
      </x:c>
      <x:c r="L61" s="2"/>
      <x:c r="M61" s="2"/>
      <x:c r="N61" s="2"/>
      <x:c r="O61" s="2"/>
    </x:row>
    <x:row r="62" ht="22" customHeight="1">
      <x:c r="A62" s="2"/>
      <x:c r="B62" s="2"/>
      <x:c r="C62" s="2" t="str">
        <x:v>Stock compensation</x:v>
      </x:c>
      <x:c r="D62" s="2"/>
      <x:c r="E62" s="4" t="n">
        <x:f>E52*$E$16</x:f>
        <x:v>12.710932777620009</x:v>
      </x:c>
      <x:c r="F62" s="4" t="n">
        <x:f>F52*$E$16</x:f>
        <x:v>12.831989280264008</x:v>
      </x:c>
      <x:c r="G62" s="4" t="n">
        <x:f>G52*$E$16</x:f>
        <x:v>12.953045782908008</x:v>
      </x:c>
      <x:c r="H62" s="4" t="n">
        <x:f>H52*$E$16</x:f>
        <x:v>13.074102285552009</x:v>
      </x:c>
      <x:c r="I62" s="4" t="n">
        <x:f>I52*$E$16</x:f>
        <x:v>13.195158788196007</x:v>
      </x:c>
      <x:c r="J62" s="4" t="n">
        <x:f>J52*$E$16</x:f>
        <x:v>13.316215290840008</x:v>
      </x:c>
      <x:c r="K62" s="4" t="n">
        <x:f>K52*$E$16</x:f>
        <x:v>13.43727179348401</x:v>
      </x:c>
      <x:c r="L62" s="2"/>
      <x:c r="M62" s="2"/>
      <x:c r="N62" s="2"/>
      <x:c r="O62" s="2"/>
    </x:row>
    <x:row r="63" ht="22" customHeight="1">
      <x:c r="A63" s="2"/>
      <x:c r="B63" s="2"/>
      <x:c r="C63" s="2" t="str">
        <x:v>Gross capex</x:v>
      </x:c>
      <x:c r="D63" s="2"/>
      <x:c r="E63" s="4" t="n">
        <x:f>E52*$E$17</x:f>
        <x:v>381.3279833286002</x:v>
      </x:c>
      <x:c r="F63" s="4" t="n">
        <x:f>F52*$E$17</x:f>
        <x:v>384.95967840792025</x:v>
      </x:c>
      <x:c r="G63" s="4" t="n">
        <x:f>G52*$E$17</x:f>
        <x:v>388.5913734872402</x:v>
      </x:c>
      <x:c r="H63" s="4" t="n">
        <x:f>H52*$E$17</x:f>
        <x:v>392.22306856656024</x:v>
      </x:c>
      <x:c r="I63" s="4" t="n">
        <x:f>I52*$E$17</x:f>
        <x:v>395.8547636458802</x:v>
      </x:c>
      <x:c r="J63" s="4" t="n">
        <x:f>J52*$E$17</x:f>
        <x:v>399.48645872520024</x:v>
      </x:c>
      <x:c r="K63" s="4" t="n">
        <x:f>K52*$E$17</x:f>
        <x:v>403.11815380452026</x:v>
      </x:c>
      <x:c r="L63" s="2"/>
      <x:c r="M63" s="2"/>
      <x:c r="N63" s="2"/>
      <x:c r="O63" s="2"/>
    </x:row>
    <x:row r="64" ht="22" customHeight="1">
      <x:c r="A64" s="2"/>
      <x:c r="B64" s="2"/>
      <x:c r="C64" s="2" t="str">
        <x:v>Disposal proceeds</x:v>
      </x:c>
      <x:c r="D64" s="2"/>
      <x:c r="E64" s="4" t="n">
        <x:f>E52*$E$18</x:f>
        <x:v>22.879678999716013</x:v>
      </x:c>
      <x:c r="F64" s="4" t="n">
        <x:f>F52*$E$18</x:f>
        <x:v>23.097580704475213</x:v>
      </x:c>
      <x:c r="G64" s="4" t="n">
        <x:f>G52*$E$18</x:f>
        <x:v>23.315482409234413</x:v>
      </x:c>
      <x:c r="H64" s="4" t="n">
        <x:f>H52*$E$18</x:f>
        <x:v>23.533384113993613</x:v>
      </x:c>
      <x:c r="I64" s="4" t="n">
        <x:f>I52*$E$18</x:f>
        <x:v>23.751285818752812</x:v>
      </x:c>
      <x:c r="J64" s="4" t="n">
        <x:f>J52*$E$18</x:f>
        <x:v>23.969187523512012</x:v>
      </x:c>
      <x:c r="K64" s="4" t="n">
        <x:f>K52*$E$18</x:f>
        <x:v>24.187089228271216</x:v>
      </x:c>
      <x:c r="L64" s="2"/>
      <x:c r="M64" s="2"/>
      <x:c r="N64" s="2"/>
      <x:c r="O64" s="2"/>
    </x:row>
    <x:row r="65" ht="22" customHeight="1">
      <x:c r="A65" s="2"/>
      <x:c r="B65" s="2"/>
      <x:c r="C65" s="2"/>
      <x:c r="D65" s="2"/>
      <x:c r="E65" s="4"/>
      <x:c r="F65" s="4"/>
      <x:c r="G65" s="4"/>
      <x:c r="H65" s="4"/>
      <x:c r="I65" s="4"/>
      <x:c r="J65" s="4"/>
      <x:c r="K65" s="4"/>
      <x:c r="L65" s="2"/>
      <x:c r="M65" s="2"/>
      <x:c r="N65" s="2"/>
      <x:c r="O65" s="2"/>
    </x:row>
    <x:row r="66" ht="22" customHeight="1">
      <x:c r="A66" s="2"/>
      <x:c r="B66" s="2"/>
      <x:c r="C66" s="2"/>
      <x:c r="D66" s="2"/>
      <x:c r="E66" s="4"/>
      <x:c r="F66" s="4"/>
      <x:c r="G66" s="4"/>
      <x:c r="H66" s="4"/>
      <x:c r="I66" s="4"/>
      <x:c r="J66" s="4"/>
      <x:c r="K66" s="4"/>
      <x:c r="L66" s="2"/>
      <x:c r="M66" s="2"/>
      <x:c r="N66" s="2"/>
      <x:c r="O66" s="2"/>
    </x:row>
    <x:row r="67" ht="26" customHeight="1">
      <x:c r="A67" s="2"/>
      <x:c r="B67" s="2"/>
      <x:c r="C67" s="26" t="str">
        <x:v>Isolated FY2030 changes · other Base assumptions unchanged</x:v>
      </x:c>
      <x:c r="D67" s="26" t="str">
        <x:v>Isolated FY2030 changes · other Base assumptions unchanged</x:v>
      </x:c>
      <x:c r="E67" s="27" t="str">
        <x:v>Isolated FY2030 changes · other Base assumptions unchanged</x:v>
      </x:c>
      <x:c r="F67" s="27" t="str">
        <x:v>Isolated FY2030 changes · other Base assumptions unchanged</x:v>
      </x:c>
      <x:c r="G67" s="27" t="str">
        <x:v>Isolated FY2030 changes · other Base assumptions unchanged</x:v>
      </x:c>
      <x:c r="H67" s="27" t="str">
        <x:v>Isolated FY2030 changes · other Base assumptions unchanged</x:v>
      </x:c>
      <x:c r="I67" s="27" t="str">
        <x:v>Isolated FY2030 changes · other Base assumptions unchanged</x:v>
      </x:c>
      <x:c r="J67" s="27" t="str">
        <x:v>Isolated FY2030 changes · other Base assumptions unchanged</x:v>
      </x:c>
      <x:c r="K67" s="27" t="str">
        <x:v>Isolated FY2030 changes · other Base assumptions unchanged</x:v>
      </x:c>
      <x:c r="L67" s="2"/>
      <x:c r="M67" s="2"/>
      <x:c r="N67" s="2"/>
      <x:c r="O67" s="2"/>
    </x:row>
    <x:row r="68" ht="22" customHeight="1">
      <x:c r="A68" s="2"/>
      <x:c r="B68" s="2"/>
      <x:c r="C68" s="2"/>
      <x:c r="D68" s="2"/>
      <x:c r="E68" s="4"/>
      <x:c r="F68" s="4"/>
      <x:c r="G68" s="4"/>
      <x:c r="H68" s="4"/>
      <x:c r="I68" s="4"/>
      <x:c r="J68" s="4"/>
      <x:c r="K68" s="4"/>
      <x:c r="L68" s="2"/>
      <x:c r="M68" s="2"/>
      <x:c r="N68" s="2"/>
      <x:c r="O68" s="2"/>
    </x:row>
    <x:row r="69" ht="27" customHeight="1">
      <x:c r="A69" s="2"/>
      <x:c r="B69" s="2"/>
      <x:c r="C69" s="19" t="str">
        <x:v>Driver change</x:v>
      </x:c>
      <x:c r="D69" s="19" t="str">
        <x:v>Unit</x:v>
      </x:c>
      <x:c r="E69" s="20" t="str">
        <x:v>FCF impact</x:v>
      </x:c>
      <x:c r="F69" s="4"/>
      <x:c r="G69" s="4"/>
      <x:c r="H69" s="4"/>
      <x:c r="I69" s="4"/>
      <x:c r="J69" s="4"/>
      <x:c r="K69" s="4"/>
      <x:c r="L69" s="2"/>
      <x:c r="M69" s="2"/>
      <x:c r="N69" s="2"/>
      <x:c r="O69" s="2"/>
    </x:row>
    <x:row r="70" ht="24" customHeight="1">
      <x:c r="A70" s="2"/>
      <x:c r="B70" s="2"/>
      <x:c r="C70" s="2" t="str">
        <x:v>Gross margin +100 bps</x:v>
      </x:c>
      <x:c r="D70" s="2" t="str">
        <x:v>$m</x:v>
      </x:c>
      <x:c r="E70" s="39" t="n">
        <x:f>'Model'!K97*.01*(1-$E$10+($E$12-$E$13)/365)</x:f>
        <x:v>135.1145787159746</x:v>
      </x:c>
      <x:c r="F70" s="4"/>
      <x:c r="G70" s="58" t="str">
        <x:v>Gross-margin changes also affect inventory and payables through COGS. SG&amp;A changes affect earnings only. Days changes affect cash, not earnings.</x:v>
      </x:c>
      <x:c r="H70" s="58" t="str">
        <x:v>Gross-margin changes also affect inventory and payables through COGS. SG&amp;A changes affect earnings only. Days changes affect cash, not earnings.</x:v>
      </x:c>
      <x:c r="I70" s="58" t="str">
        <x:v>Gross-margin changes also affect inventory and payables through COGS. SG&amp;A changes affect earnings only. Days changes affect cash, not earnings.</x:v>
      </x:c>
      <x:c r="J70" s="58" t="str">
        <x:v>Gross-margin changes also affect inventory and payables through COGS. SG&amp;A changes affect earnings only. Days changes affect cash, not earnings.</x:v>
      </x:c>
      <x:c r="K70" s="58" t="str">
        <x:v>Gross-margin changes also affect inventory and payables through COGS. SG&amp;A changes affect earnings only. Days changes affect cash, not earnings.</x:v>
      </x:c>
      <x:c r="L70" s="2"/>
      <x:c r="M70" s="2"/>
      <x:c r="N70" s="2"/>
      <x:c r="O70" s="2"/>
    </x:row>
    <x:row r="71" ht="24" customHeight="1">
      <x:c r="A71" s="2"/>
      <x:c r="B71" s="2"/>
      <x:c r="C71" s="2" t="str">
        <x:v>SG&amp;A / sales +100 bps</x:v>
      </x:c>
      <x:c r="D71" s="2" t="str">
        <x:v>$m</x:v>
      </x:c>
      <x:c r="E71" s="39" t="n">
        <x:f>-'Model'!K97*.01*(1-$E$10)</x:f>
        <x:v>-98.57873123306213</x:v>
      </x:c>
      <x:c r="F71" s="4"/>
      <x:c r="G71" s="58" t="str">
        <x:v>Gross-margin changes also affect inventory and payables through COGS. SG&amp;A changes affect earnings only. Days changes affect cash, not earnings.</x:v>
      </x:c>
      <x:c r="H71" s="58" t="str">
        <x:v>Gross-margin changes also affect inventory and payables through COGS. SG&amp;A changes affect earnings only. Days changes affect cash, not earnings.</x:v>
      </x:c>
      <x:c r="I71" s="58" t="str">
        <x:v>Gross-margin changes also affect inventory and payables through COGS. SG&amp;A changes affect earnings only. Days changes affect cash, not earnings.</x:v>
      </x:c>
      <x:c r="J71" s="58" t="str">
        <x:v>Gross-margin changes also affect inventory and payables through COGS. SG&amp;A changes affect earnings only. Days changes affect cash, not earnings.</x:v>
      </x:c>
      <x:c r="K71" s="58" t="str">
        <x:v>Gross-margin changes also affect inventory and payables through COGS. SG&amp;A changes affect earnings only. Days changes affect cash, not earnings.</x:v>
      </x:c>
      <x:c r="L71" s="2"/>
      <x:c r="M71" s="2"/>
      <x:c r="N71" s="2"/>
      <x:c r="O71" s="2"/>
    </x:row>
    <x:row r="72" ht="24" customHeight="1">
      <x:c r="A72" s="2"/>
      <x:c r="B72" s="2"/>
      <x:c r="C72" s="2" t="str">
        <x:v>Receivable days +5</x:v>
      </x:c>
      <x:c r="D72" s="2" t="str">
        <x:v>$m</x:v>
      </x:c>
      <x:c r="E72" s="39" t="n">
        <x:f>-'Model'!K97*5/365</x:f>
        <x:v>-179.0972915829042</x:v>
      </x:c>
      <x:c r="F72" s="4"/>
      <x:c r="G72" s="58" t="str">
        <x:v>Gross-margin changes also affect inventory and payables through COGS. SG&amp;A changes affect earnings only. Days changes affect cash, not earnings.</x:v>
      </x:c>
      <x:c r="H72" s="58" t="str">
        <x:v>Gross-margin changes also affect inventory and payables through COGS. SG&amp;A changes affect earnings only. Days changes affect cash, not earnings.</x:v>
      </x:c>
      <x:c r="I72" s="58" t="str">
        <x:v>Gross-margin changes also affect inventory and payables through COGS. SG&amp;A changes affect earnings only. Days changes affect cash, not earnings.</x:v>
      </x:c>
      <x:c r="J72" s="58" t="str">
        <x:v>Gross-margin changes also affect inventory and payables through COGS. SG&amp;A changes affect earnings only. Days changes affect cash, not earnings.</x:v>
      </x:c>
      <x:c r="K72" s="58" t="str">
        <x:v>Gross-margin changes also affect inventory and payables through COGS. SG&amp;A changes affect earnings only. Days changes affect cash, not earnings.</x:v>
      </x:c>
      <x:c r="L72" s="2"/>
      <x:c r="M72" s="2"/>
      <x:c r="N72" s="2"/>
      <x:c r="O72" s="2"/>
    </x:row>
    <x:row r="73" ht="24" customHeight="1">
      <x:c r="A73" s="2"/>
      <x:c r="B73" s="2"/>
      <x:c r="C73" s="2" t="str">
        <x:v>Inventory days +10</x:v>
      </x:c>
      <x:c r="D73" s="2" t="str">
        <x:v>$m</x:v>
      </x:c>
      <x:c r="E73" s="39" t="n">
        <x:f>-'Model'!K99*10/365</x:f>
        <x:v>-199.15618824018952</x:v>
      </x:c>
      <x:c r="F73" s="4"/>
      <x:c r="G73" s="58" t="str">
        <x:v>Gross-margin changes also affect inventory and payables through COGS. SG&amp;A changes affect earnings only. Days changes affect cash, not earnings.</x:v>
      </x:c>
      <x:c r="H73" s="58" t="str">
        <x:v>Gross-margin changes also affect inventory and payables through COGS. SG&amp;A changes affect earnings only. Days changes affect cash, not earnings.</x:v>
      </x:c>
      <x:c r="I73" s="58" t="str">
        <x:v>Gross-margin changes also affect inventory and payables through COGS. SG&amp;A changes affect earnings only. Days changes affect cash, not earnings.</x:v>
      </x:c>
      <x:c r="J73" s="58" t="str">
        <x:v>Gross-margin changes also affect inventory and payables through COGS. SG&amp;A changes affect earnings only. Days changes affect cash, not earnings.</x:v>
      </x:c>
      <x:c r="K73" s="58" t="str">
        <x:v>Gross-margin changes also affect inventory and payables through COGS. SG&amp;A changes affect earnings only. Days changes affect cash, not earnings.</x:v>
      </x:c>
      <x:c r="L73" s="2"/>
      <x:c r="M73" s="2"/>
      <x:c r="N73" s="2"/>
      <x:c r="O73" s="2"/>
    </x:row>
    <x:row r="74" ht="22" customHeight="1">
      <x:c r="A74" s="2"/>
      <x:c r="B74" s="2"/>
      <x:c r="C74" s="2" t="str">
        <x:v>Payable days +5</x:v>
      </x:c>
      <x:c r="D74" s="2" t="str">
        <x:v>$m</x:v>
      </x:c>
      <x:c r="E74" s="39" t="n">
        <x:f>'Model'!K99*5/365</x:f>
        <x:v>99.57809412009476</x:v>
      </x:c>
      <x:c r="F74" s="4"/>
      <x:c r="G74" s="4"/>
      <x:c r="H74" s="4"/>
      <x:c r="I74" s="4"/>
      <x:c r="J74" s="4"/>
      <x:c r="K74" s="4"/>
      <x:c r="L74" s="2"/>
      <x:c r="M74" s="2"/>
      <x:c r="N74" s="2"/>
      <x:c r="O74" s="2"/>
    </x:row>
    <x:row r="75" ht="22" customHeight="1">
      <x:c r="A75" s="2"/>
      <x:c r="B75" s="2"/>
      <x:c r="C75" s="2" t="str">
        <x:v>Gross capex / sales +100 bps</x:v>
      </x:c>
      <x:c r="D75" s="2" t="str">
        <x:v>$m</x:v>
      </x:c>
      <x:c r="E75" s="39" t="n">
        <x:f>-'Model'!K97*.01</x:f>
        <x:v>-130.74102285552007</x:v>
      </x:c>
      <x:c r="F75" s="4"/>
      <x:c r="G75" s="4"/>
      <x:c r="H75" s="4"/>
      <x:c r="I75" s="4"/>
      <x:c r="J75" s="4"/>
      <x:c r="K75" s="4"/>
      <x:c r="L75" s="2"/>
      <x:c r="M75" s="2"/>
      <x:c r="N75" s="2"/>
      <x:c r="O75" s="2"/>
    </x:row>
    <x:row r="76" ht="22" customHeight="1">
      <x:c r="A76" s="2"/>
      <x:c r="B76" s="2"/>
      <x:c r="C76" s="2"/>
      <x:c r="D76" s="2"/>
      <x:c r="E76" s="4"/>
      <x:c r="F76" s="4"/>
      <x:c r="G76" s="4"/>
      <x:c r="H76" s="4"/>
      <x:c r="I76" s="4"/>
      <x:c r="J76" s="4"/>
      <x:c r="K76" s="4"/>
      <x:c r="L76" s="2"/>
      <x:c r="M76" s="2"/>
      <x:c r="N76" s="2"/>
      <x:c r="O76" s="2"/>
    </x:row>
    <x:row r="77" ht="22" customHeight="1">
      <x:c r="A77" s="2"/>
      <x:c r="B77" s="2"/>
      <x:c r="C77" s="2"/>
      <x:c r="D77" s="2"/>
      <x:c r="E77" s="4"/>
      <x:c r="F77" s="4"/>
      <x:c r="G77" s="4"/>
      <x:c r="H77" s="4"/>
      <x:c r="I77" s="4"/>
      <x:c r="J77" s="4"/>
      <x:c r="K77" s="4"/>
      <x:c r="L77" s="2"/>
      <x:c r="M77" s="2"/>
      <x:c r="N77" s="2"/>
      <x:c r="O77" s="2"/>
    </x:row>
    <x:row r="78" ht="22" customHeight="1">
      <x:c r="A78" s="2"/>
      <x:c r="B78" s="2"/>
      <x:c r="C78" s="2"/>
      <x:c r="D78" s="2"/>
      <x:c r="E78" s="4"/>
      <x:c r="F78" s="4"/>
      <x:c r="G78" s="4"/>
      <x:c r="H78" s="4"/>
      <x:c r="I78" s="4"/>
      <x:c r="J78" s="4"/>
      <x:c r="K78" s="4"/>
      <x:c r="L78" s="2"/>
      <x:c r="M78" s="2"/>
      <x:c r="N78" s="2"/>
      <x:c r="O78" s="2"/>
    </x:row>
    <x:row r="79" ht="22" customHeight="1">
      <x:c r="A79" s="2"/>
      <x:c r="B79" s="2"/>
      <x:c r="C79" s="2"/>
      <x:c r="D79" s="2"/>
      <x:c r="E79" s="4"/>
      <x:c r="F79" s="4"/>
      <x:c r="G79" s="4"/>
      <x:c r="H79" s="4"/>
      <x:c r="I79" s="4"/>
      <x:c r="J79" s="4"/>
      <x:c r="K79" s="4"/>
      <x:c r="L79" s="2"/>
      <x:c r="M79" s="2"/>
      <x:c r="N79" s="2"/>
      <x:c r="O79" s="2"/>
    </x:row>
    <x:row r="80" ht="22" customHeight="1">
      <x:c r="A80" s="2"/>
      <x:c r="B80" s="2"/>
      <x:c r="C80" s="2"/>
      <x:c r="D80" s="2"/>
      <x:c r="E80" s="4"/>
      <x:c r="F80" s="4"/>
      <x:c r="G80" s="4"/>
      <x:c r="H80" s="4"/>
      <x:c r="I80" s="4"/>
      <x:c r="J80" s="4"/>
      <x:c r="K80" s="4"/>
      <x:c r="L80" s="2"/>
      <x:c r="M80" s="2"/>
      <x:c r="N80" s="2"/>
      <x:c r="O80" s="2"/>
    </x:row>
    <x:row r="81" ht="22" customHeight="1">
      <x:c r="A81" s="2"/>
      <x:c r="B81" s="2"/>
      <x:c r="C81" s="2"/>
      <x:c r="D81" s="2"/>
      <x:c r="E81" s="4"/>
      <x:c r="F81" s="4"/>
      <x:c r="G81" s="4"/>
      <x:c r="H81" s="4"/>
      <x:c r="I81" s="4"/>
      <x:c r="J81" s="4"/>
      <x:c r="K81" s="4"/>
      <x:c r="L81" s="2"/>
      <x:c r="M81" s="2"/>
      <x:c r="N81" s="2"/>
      <x:c r="O81" s="2"/>
    </x:row>
    <x:row r="82" ht="22" customHeight="1">
      <x:c r="A82" s="2"/>
      <x:c r="B82" s="2"/>
      <x:c r="C82" s="2"/>
      <x:c r="D82" s="2"/>
      <x:c r="E82" s="4"/>
      <x:c r="F82" s="4"/>
      <x:c r="G82" s="4"/>
      <x:c r="H82" s="4"/>
      <x:c r="I82" s="4"/>
      <x:c r="J82" s="4"/>
      <x:c r="K82" s="4"/>
      <x:c r="L82" s="2"/>
      <x:c r="M82" s="2"/>
      <x:c r="N82" s="2"/>
      <x:c r="O82" s="2"/>
    </x:row>
    <x:row r="83" ht="22" customHeight="1">
      <x:c r="A83" s="2"/>
      <x:c r="B83" s="2"/>
      <x:c r="C83" s="2"/>
      <x:c r="D83" s="2"/>
      <x:c r="E83" s="4"/>
      <x:c r="F83" s="4"/>
      <x:c r="G83" s="4"/>
      <x:c r="H83" s="4"/>
      <x:c r="I83" s="4"/>
      <x:c r="J83" s="4"/>
      <x:c r="K83" s="4"/>
      <x:c r="L83" s="2"/>
      <x:c r="M83" s="2"/>
      <x:c r="N83" s="2"/>
      <x:c r="O83" s="2"/>
    </x:row>
    <x:row r="84" ht="22" customHeight="1">
      <x:c r="A84" s="2"/>
      <x:c r="B84" s="2"/>
      <x:c r="C84" s="2"/>
      <x:c r="D84" s="2"/>
      <x:c r="E84" s="4"/>
      <x:c r="F84" s="4"/>
      <x:c r="G84" s="4"/>
      <x:c r="H84" s="4"/>
      <x:c r="I84" s="4"/>
      <x:c r="J84" s="4"/>
      <x:c r="K84" s="4"/>
      <x:c r="L84" s="2"/>
      <x:c r="M84" s="2"/>
      <x:c r="N84" s="2"/>
      <x:c r="O84" s="2"/>
    </x:row>
    <x:row r="85" ht="22" customHeight="1">
      <x:c r="A85" s="2"/>
      <x:c r="B85" s="2"/>
      <x:c r="C85" s="2"/>
      <x:c r="D85" s="2"/>
      <x:c r="E85" s="4"/>
      <x:c r="F85" s="4"/>
      <x:c r="G85" s="4"/>
      <x:c r="H85" s="4"/>
      <x:c r="I85" s="4"/>
      <x:c r="J85" s="4"/>
      <x:c r="K85" s="4"/>
      <x:c r="L85" s="2"/>
      <x:c r="M85" s="2"/>
      <x:c r="N85" s="2"/>
      <x:c r="O85" s="2"/>
    </x:row>
    <x:row r="86" ht="22" customHeight="1">
      <x:c r="A86" s="2"/>
      <x:c r="B86" s="2"/>
      <x:c r="C86" s="2"/>
      <x:c r="D86" s="2"/>
      <x:c r="E86" s="4"/>
      <x:c r="F86" s="4"/>
      <x:c r="G86" s="4"/>
      <x:c r="H86" s="4"/>
      <x:c r="I86" s="4"/>
      <x:c r="J86" s="4"/>
      <x:c r="K86" s="4"/>
      <x:c r="L86" s="2"/>
      <x:c r="M86" s="2"/>
      <x:c r="N86" s="2"/>
      <x:c r="O86" s="2"/>
    </x:row>
    <x:row r="87" ht="22" customHeight="1">
      <x:c r="A87" s="2"/>
      <x:c r="B87" s="2"/>
      <x:c r="C87" s="2"/>
      <x:c r="D87" s="2"/>
      <x:c r="E87" s="4"/>
      <x:c r="F87" s="4"/>
      <x:c r="G87" s="4"/>
      <x:c r="H87" s="4"/>
      <x:c r="I87" s="4"/>
      <x:c r="J87" s="4"/>
      <x:c r="K87" s="4"/>
      <x:c r="L87" s="2"/>
      <x:c r="M87" s="2"/>
      <x:c r="N87" s="2"/>
      <x:c r="O87" s="2"/>
    </x:row>
    <x:row r="88" ht="22" customHeight="1">
      <x:c r="A88" s="2"/>
      <x:c r="B88" s="2"/>
      <x:c r="C88" s="2"/>
      <x:c r="D88" s="2"/>
      <x:c r="E88" s="4"/>
      <x:c r="F88" s="4"/>
      <x:c r="G88" s="4"/>
      <x:c r="H88" s="4"/>
      <x:c r="I88" s="4"/>
      <x:c r="J88" s="4"/>
      <x:c r="K88" s="4"/>
      <x:c r="L88" s="2"/>
      <x:c r="M88" s="2"/>
      <x:c r="N88" s="2"/>
      <x:c r="O88" s="2"/>
    </x:row>
    <x:row r="89" ht="22" customHeight="1">
      <x:c r="A89" s="2"/>
      <x:c r="B89" s="2"/>
      <x:c r="C89" s="2"/>
      <x:c r="D89" s="2"/>
      <x:c r="E89" s="4"/>
      <x:c r="F89" s="4"/>
      <x:c r="G89" s="4"/>
      <x:c r="H89" s="4"/>
      <x:c r="I89" s="4"/>
      <x:c r="J89" s="4"/>
      <x:c r="K89" s="4"/>
      <x:c r="L89" s="2"/>
      <x:c r="M89" s="2"/>
      <x:c r="N89" s="2"/>
      <x:c r="O89" s="2"/>
    </x:row>
    <x:row r="90" ht="22" customHeight="1">
      <x:c r="A90" s="2"/>
      <x:c r="B90" s="2"/>
      <x:c r="C90" s="2"/>
      <x:c r="D90" s="2"/>
      <x:c r="E90" s="4"/>
      <x:c r="F90" s="4"/>
      <x:c r="G90" s="4"/>
      <x:c r="H90" s="4"/>
      <x:c r="I90" s="4"/>
      <x:c r="J90" s="4"/>
      <x:c r="K90" s="4"/>
      <x:c r="L90" s="2"/>
      <x:c r="M90" s="2"/>
      <x:c r="N90" s="2"/>
      <x:c r="O90" s="2"/>
    </x:row>
    <x:row r="91" ht="22" customHeight="1">
      <x:c r="A91" s="2"/>
      <x:c r="B91" s="2"/>
      <x:c r="C91" s="2"/>
      <x:c r="D91" s="2"/>
      <x:c r="E91" s="4"/>
      <x:c r="F91" s="4"/>
      <x:c r="G91" s="4"/>
      <x:c r="H91" s="4"/>
      <x:c r="I91" s="4"/>
      <x:c r="J91" s="4"/>
      <x:c r="K91" s="4"/>
      <x:c r="L91" s="2"/>
      <x:c r="M91" s="2"/>
      <x:c r="N91" s="2"/>
      <x:c r="O91" s="2"/>
    </x:row>
  </x:sheetData>
  <x:mergeCells>
    <x:mergeCell ref="C2:K2"/>
    <x:mergeCell ref="C4:K5"/>
    <x:mergeCell ref="G8:K10"/>
    <x:mergeCell ref="G12:K14"/>
    <x:mergeCell ref="C24:K24"/>
    <x:mergeCell ref="C36:K36"/>
    <x:mergeCell ref="C48:K48"/>
    <x:mergeCell ref="C67:K67"/>
    <x:mergeCell ref="G70:K73"/>
  </x:mergeCells>
  <x:conditionalFormatting sqref="E27:K33">
    <x:cfRule type="colorScale" priority="1">
      <x:colorScale>
        <x:cfvo type="min"/>
        <x:cfvo type="percentile" val="50"/>
        <x:cfvo type="max"/>
        <x:color rgb="FFE6C7B6"/>
        <x:color rgb="FFFAF7F2"/>
        <x:color rgb="FFB9D4D3"/>
      </x:colorScale>
    </x:cfRule>
  </x:conditionalFormatting>
  <x:conditionalFormatting sqref="E39:K45">
    <x:cfRule type="colorScale" priority="2">
      <x:colorScale>
        <x:cfvo type="min"/>
        <x:cfvo type="percentile" val="50"/>
        <x:cfvo type="max"/>
        <x:color rgb="FFE6C7B6"/>
        <x:color rgb="FFFAF7F2"/>
        <x:color rgb="FFB9D4D3"/>
      </x:colorScale>
    </x:cfRule>
  </x:conditionalFormatting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Pr>
    <x:tabColor rgb="FFD8C7AF"/>
  </x:sheetPr>
  <x:sheetViews>
    <x:sheetView showGridLines="0" workbookViewId="0">
      <x:pane xSplit="4" ySplit="7" topLeftCell="E8" activePane="bottomRight" state="frozen"/>
    </x:sheetView>
  </x:sheetViews>
  <x:sheetFormatPr defaultRowHeight="15"/>
  <x:cols>
    <x:col min="1" max="1" width="2.200000047683716" hidden="0" customWidth="1"/>
    <x:col min="2" max="2" width="2.200000047683716" hidden="0" customWidth="1"/>
    <x:col min="3" max="3" width="35" hidden="0" customWidth="1"/>
    <x:col min="4" max="4" width="9" hidden="0" customWidth="1"/>
    <x:col min="5" max="5" width="13" hidden="0" customWidth="1"/>
    <x:col min="6" max="6" width="13" hidden="0" customWidth="1"/>
    <x:col min="7" max="7" width="13" hidden="0" customWidth="1"/>
    <x:col min="8" max="8" width="13" hidden="0" customWidth="1"/>
    <x:col min="9" max="9" width="13" hidden="0" customWidth="1"/>
    <x:col min="10" max="10" width="13" hidden="0" customWidth="1"/>
    <x:col min="11" max="11" width="13" hidden="0" customWidth="1"/>
    <x:col min="12" max="12" width="3" hidden="0" customWidth="1"/>
    <x:col min="13" max="13" width="17" hidden="0" customWidth="1"/>
    <x:col min="14" max="14" width="17" hidden="0" customWidth="1"/>
    <x:col min="15" max="15" width="17" hidden="0" customWidth="1"/>
  </x:cols>
  <x:sheetData>
    <x:row r="1" ht="22" customHeight="1">
      <x:c r="A1" s="2"/>
      <x:c r="B1" s="2"/>
      <x:c r="C1" s="2"/>
      <x:c r="D1" s="2"/>
      <x:c r="E1" s="4"/>
      <x:c r="F1" s="4"/>
      <x:c r="G1" s="4"/>
      <x:c r="H1" s="4"/>
      <x:c r="I1" s="4"/>
      <x:c r="J1" s="4"/>
      <x:c r="K1" s="4"/>
      <x:c r="L1" s="2"/>
      <x:c r="M1" s="2"/>
      <x:c r="N1" s="2"/>
      <x:c r="O1" s="2"/>
    </x:row>
    <x:row r="2" ht="24" customHeight="1">
      <x:c r="A2" s="2"/>
      <x:c r="B2" s="2"/>
      <x:c r="C2" s="9" t="str">
        <x:v>Fastenal · reported financial inputs</x:v>
      </x:c>
      <x:c r="D2" s="9" t="str">
        <x:v>Fastenal · reported financial inputs</x:v>
      </x:c>
      <x:c r="E2" s="10" t="str">
        <x:v>Fastenal · reported financial inputs</x:v>
      </x:c>
      <x:c r="F2" s="10" t="str">
        <x:v>Fastenal · reported financial inputs</x:v>
      </x:c>
      <x:c r="G2" s="10" t="str">
        <x:v>Fastenal · reported financial inputs</x:v>
      </x:c>
      <x:c r="H2" s="10" t="str">
        <x:v>Fastenal · reported financial inputs</x:v>
      </x:c>
      <x:c r="I2" s="10" t="str">
        <x:v>Fastenal · reported financial inputs</x:v>
      </x:c>
      <x:c r="J2" s="10" t="str">
        <x:v>Fastenal · reported financial inputs</x:v>
      </x:c>
      <x:c r="K2" s="10" t="str">
        <x:v>Fastenal · reported financial inputs</x:v>
      </x:c>
      <x:c r="L2" s="2"/>
      <x:c r="M2" s="2"/>
      <x:c r="N2" s="2"/>
      <x:c r="O2" s="2"/>
    </x:row>
    <x:row r="3" ht="22" customHeight="1">
      <x:c r="A3" s="2"/>
      <x:c r="B3" s="2"/>
      <x:c r="C3" s="5"/>
      <x:c r="D3" s="5"/>
      <x:c r="E3" s="6"/>
      <x:c r="F3" s="6"/>
      <x:c r="G3" s="6"/>
      <x:c r="H3" s="6"/>
      <x:c r="I3" s="6"/>
      <x:c r="J3" s="6"/>
      <x:c r="K3" s="6"/>
      <x:c r="L3" s="2"/>
      <x:c r="M3" s="2"/>
      <x:c r="N3" s="2"/>
      <x:c r="O3" s="2"/>
    </x:row>
    <x:row r="4" ht="24" customHeight="1">
      <x:c r="A4" s="2"/>
      <x:c r="B4" s="2"/>
      <x:c r="C4" s="13" t="str">
        <x:v>USD millions, except per-share figures. Fiscal year ends 31 December. H1 is six months, not annualized.</x:v>
      </x:c>
      <x:c r="D4" s="13" t="str">
        <x:v>USD millions, except per-share figures. Fiscal year ends 31 December. H1 is six months, not annualized.</x:v>
      </x:c>
      <x:c r="E4" s="14" t="str">
        <x:v>USD millions, except per-share figures. Fiscal year ends 31 December. H1 is six months, not annualized.</x:v>
      </x:c>
      <x:c r="F4" s="14" t="str">
        <x:v>USD millions, except per-share figures. Fiscal year ends 31 December. H1 is six months, not annualized.</x:v>
      </x:c>
      <x:c r="G4" s="14" t="str">
        <x:v>USD millions, except per-share figures. Fiscal year ends 31 December. H1 is six months, not annualized.</x:v>
      </x:c>
      <x:c r="H4" s="14" t="str">
        <x:v>USD millions, except per-share figures. Fiscal year ends 31 December. H1 is six months, not annualized.</x:v>
      </x:c>
      <x:c r="I4" s="14" t="str">
        <x:v>USD millions, except per-share figures. Fiscal year ends 31 December. H1 is six months, not annualized.</x:v>
      </x:c>
      <x:c r="J4" s="14" t="str">
        <x:v>USD millions, except per-share figures. Fiscal year ends 31 December. H1 is six months, not annualized.</x:v>
      </x:c>
      <x:c r="K4" s="14" t="str">
        <x:v>USD millions, except per-share figures. Fiscal year ends 31 December. H1 is six months, not annualized.</x:v>
      </x:c>
      <x:c r="L4" s="2"/>
      <x:c r="M4" s="2"/>
      <x:c r="N4" s="2"/>
      <x:c r="O4" s="2"/>
    </x:row>
    <x:row r="5" ht="22" customHeight="1">
      <x:c r="A5" s="2"/>
      <x:c r="B5" s="2"/>
      <x:c r="C5" s="2"/>
      <x:c r="D5" s="2"/>
      <x:c r="E5" s="4"/>
      <x:c r="F5" s="4"/>
      <x:c r="G5" s="4"/>
      <x:c r="H5" s="4"/>
      <x:c r="I5" s="4"/>
      <x:c r="J5" s="4"/>
      <x:c r="K5" s="4"/>
      <x:c r="L5" s="2"/>
      <x:c r="M5" s="2"/>
      <x:c r="N5" s="2"/>
      <x:c r="O5" s="2"/>
    </x:row>
    <x:row r="6" ht="22" customHeight="1">
      <x:c r="A6" s="2"/>
      <x:c r="B6" s="2"/>
      <x:c r="C6" s="2"/>
      <x:c r="D6" s="2"/>
      <x:c r="E6" s="4"/>
      <x:c r="F6" s="4"/>
      <x:c r="G6" s="4"/>
      <x:c r="H6" s="4"/>
      <x:c r="I6" s="4"/>
      <x:c r="J6" s="4"/>
      <x:c r="K6" s="4"/>
      <x:c r="L6" s="2"/>
      <x:c r="M6" s="2"/>
      <x:c r="N6" s="2"/>
      <x:c r="O6" s="2"/>
    </x:row>
    <x:row r="7" ht="27" customHeight="1">
      <x:c r="A7" s="2"/>
      <x:c r="B7" s="2"/>
      <x:c r="C7" s="19" t="str">
        <x:v>Reported metric</x:v>
      </x:c>
      <x:c r="D7" s="19" t="str">
        <x:v>Unit</x:v>
      </x:c>
      <x:c r="E7" s="20" t="str">
        <x:v>FY2024 A</x:v>
      </x:c>
      <x:c r="F7" s="20" t="str">
        <x:v>FY2025 A</x:v>
      </x:c>
      <x:c r="G7" s="20" t="str">
        <x:v>H1 2025 A</x:v>
      </x:c>
      <x:c r="H7" s="20" t="str">
        <x:v>H1 2026 A</x:v>
      </x:c>
      <x:c r="I7" s="20" t="str">
        <x:v>Reference</x:v>
      </x:c>
      <x:c r="J7" s="4"/>
      <x:c r="K7" s="4"/>
      <x:c r="L7" s="2"/>
      <x:c r="M7" s="2"/>
      <x:c r="N7" s="2"/>
      <x:c r="O7" s="2"/>
    </x:row>
    <x:row r="8" ht="22" customHeight="1">
      <x:c r="A8" s="2"/>
      <x:c r="B8" s="2"/>
      <x:c r="C8" s="2" t="str">
        <x:v>Net sales</x:v>
      </x:c>
      <x:c r="D8" s="2" t="str">
        <x:v>$m</x:v>
      </x:c>
      <x:c r="E8" s="21" t="n">
        <x:v>7546</x:v>
      </x:c>
      <x:c r="F8" s="21" t="n">
        <x:v>8200.5</x:v>
      </x:c>
      <x:c r="G8" s="21" t="n">
        <x:v>4039.7</x:v>
      </x:c>
      <x:c r="H8" s="21" t="n">
        <x:v>4588.6</x:v>
      </x:c>
      <x:c r="I8" s="4" t="str">
        <x:v>S1 p47 / S2 p2</x:v>
      </x:c>
      <x:c r="J8" s="4"/>
      <x:c r="K8" s="4"/>
      <x:c r="L8" s="2"/>
      <x:c r="M8" s="2"/>
      <x:c r="N8" s="2"/>
      <x:c r="O8" s="2"/>
    </x:row>
    <x:row r="9" ht="22" customHeight="1">
      <x:c r="A9" s="2"/>
      <x:c r="B9" s="2"/>
      <x:c r="C9" s="2" t="str">
        <x:v>Cost of sales</x:v>
      </x:c>
      <x:c r="D9" s="2" t="str">
        <x:v>$m</x:v>
      </x:c>
      <x:c r="E9" s="21" t="n">
        <x:v>4144.1</x:v>
      </x:c>
      <x:c r="F9" s="21" t="n">
        <x:v>4509.3</x:v>
      </x:c>
      <x:c r="G9" s="21" t="n">
        <x:v>2213</x:v>
      </x:c>
      <x:c r="H9" s="21" t="n">
        <x:v>2542</x:v>
      </x:c>
      <x:c r="I9" s="4" t="str">
        <x:v>S1 p47 / S2 p2</x:v>
      </x:c>
      <x:c r="J9" s="4"/>
      <x:c r="K9" s="4"/>
      <x:c r="L9" s="2"/>
      <x:c r="M9" s="2"/>
      <x:c r="N9" s="2"/>
      <x:c r="O9" s="2"/>
    </x:row>
    <x:row r="10" ht="22" customHeight="1">
      <x:c r="A10" s="2"/>
      <x:c r="B10" s="2"/>
      <x:c r="C10" s="2" t="str">
        <x:v>Gross profit</x:v>
      </x:c>
      <x:c r="D10" s="2" t="str">
        <x:v>$m</x:v>
      </x:c>
      <x:c r="E10" s="21" t="n">
        <x:v>3401.9</x:v>
      </x:c>
      <x:c r="F10" s="21" t="n">
        <x:v>3691.2</x:v>
      </x:c>
      <x:c r="G10" s="21" t="n">
        <x:v>1826.7</x:v>
      </x:c>
      <x:c r="H10" s="21" t="n">
        <x:v>2046.6</x:v>
      </x:c>
      <x:c r="I10" s="4" t="str">
        <x:v>S1 p47 / S2 p2</x:v>
      </x:c>
      <x:c r="J10" s="4"/>
      <x:c r="K10" s="4"/>
      <x:c r="L10" s="2"/>
      <x:c r="M10" s="2"/>
      <x:c r="N10" s="2"/>
      <x:c r="O10" s="2"/>
    </x:row>
    <x:row r="11" ht="22" customHeight="1">
      <x:c r="A11" s="2"/>
      <x:c r="B11" s="2"/>
      <x:c r="C11" s="2" t="str">
        <x:v>SG&amp;A</x:v>
      </x:c>
      <x:c r="D11" s="2" t="str">
        <x:v>$m</x:v>
      </x:c>
      <x:c r="E11" s="21" t="n">
        <x:v>1891.9</x:v>
      </x:c>
      <x:c r="F11" s="21" t="n">
        <x:v>2035.5</x:v>
      </x:c>
      <x:c r="G11" s="21" t="n">
        <x:v>996.7</x:v>
      </x:c>
      <x:c r="H11" s="21" t="n">
        <x:v>1097.2</x:v>
      </x:c>
      <x:c r="I11" s="4" t="str">
        <x:v>S1 p47 / S2 p2</x:v>
      </x:c>
      <x:c r="J11" s="4"/>
      <x:c r="K11" s="4"/>
      <x:c r="L11" s="2"/>
      <x:c r="M11" s="2"/>
      <x:c r="N11" s="2"/>
      <x:c r="O11" s="2"/>
    </x:row>
    <x:row r="12" ht="22" customHeight="1">
      <x:c r="A12" s="2"/>
      <x:c r="B12" s="2"/>
      <x:c r="C12" s="2" t="str">
        <x:v>Operating income</x:v>
      </x:c>
      <x:c r="D12" s="2" t="str">
        <x:v>$m</x:v>
      </x:c>
      <x:c r="E12" s="21" t="n">
        <x:v>1510</x:v>
      </x:c>
      <x:c r="F12" s="21" t="n">
        <x:v>1655.7</x:v>
      </x:c>
      <x:c r="G12" s="21" t="n">
        <x:v>830</x:v>
      </x:c>
      <x:c r="H12" s="21" t="n">
        <x:v>949.4</x:v>
      </x:c>
      <x:c r="I12" s="4" t="str">
        <x:v>S1 p47 / S2 p2</x:v>
      </x:c>
      <x:c r="J12" s="4"/>
      <x:c r="K12" s="4"/>
      <x:c r="L12" s="2"/>
      <x:c r="M12" s="2"/>
      <x:c r="N12" s="2"/>
      <x:c r="O12" s="2"/>
    </x:row>
    <x:row r="13" ht="22" customHeight="1">
      <x:c r="A13" s="2"/>
      <x:c r="B13" s="2"/>
      <x:c r="C13" s="2" t="str">
        <x:v>Interest income</x:v>
      </x:c>
      <x:c r="D13" s="2" t="str">
        <x:v>$m</x:v>
      </x:c>
      <x:c r="E13" s="21" t="n">
        <x:v>5.4</x:v>
      </x:c>
      <x:c r="F13" s="21" t="n">
        <x:v>5.5</x:v>
      </x:c>
      <x:c r="G13" s="21" t="n">
        <x:v>3.6</x:v>
      </x:c>
      <x:c r="H13" s="21" t="n">
        <x:v>3.1</x:v>
      </x:c>
      <x:c r="I13" s="4" t="str">
        <x:v>S1 p47 / S2 p2</x:v>
      </x:c>
      <x:c r="J13" s="4"/>
      <x:c r="K13" s="4"/>
      <x:c r="L13" s="2"/>
      <x:c r="M13" s="2"/>
      <x:c r="N13" s="2"/>
      <x:c r="O13" s="2"/>
    </x:row>
    <x:row r="14" ht="22" customHeight="1">
      <x:c r="A14" s="2"/>
      <x:c r="B14" s="2"/>
      <x:c r="C14" s="2" t="str">
        <x:v>Interest expense</x:v>
      </x:c>
      <x:c r="D14" s="2" t="str">
        <x:v>$m</x:v>
      </x:c>
      <x:c r="E14" s="21" t="n">
        <x:v>7.3</x:v>
      </x:c>
      <x:c r="F14" s="21" t="n">
        <x:v>6.2</x:v>
      </x:c>
      <x:c r="G14" s="21" t="n">
        <x:v>3.8</x:v>
      </x:c>
      <x:c r="H14" s="21" t="n">
        <x:v>2.1</x:v>
      </x:c>
      <x:c r="I14" s="4" t="str">
        <x:v>S1 p47 / S2 p2</x:v>
      </x:c>
      <x:c r="J14" s="4"/>
      <x:c r="K14" s="4"/>
      <x:c r="L14" s="2"/>
      <x:c r="M14" s="2"/>
      <x:c r="N14" s="2"/>
      <x:c r="O14" s="2"/>
    </x:row>
    <x:row r="15" ht="22" customHeight="1">
      <x:c r="A15" s="2"/>
      <x:c r="B15" s="2"/>
      <x:c r="C15" s="2" t="str">
        <x:v>Income before taxes</x:v>
      </x:c>
      <x:c r="D15" s="2" t="str">
        <x:v>$m</x:v>
      </x:c>
      <x:c r="E15" s="21" t="n">
        <x:v>1508.1</x:v>
      </x:c>
      <x:c r="F15" s="21" t="n">
        <x:v>1655</x:v>
      </x:c>
      <x:c r="G15" s="21" t="n">
        <x:v>829.8</x:v>
      </x:c>
      <x:c r="H15" s="21" t="n">
        <x:v>950.4</x:v>
      </x:c>
      <x:c r="I15" s="4" t="str">
        <x:v>S1 p47 / S2 p2</x:v>
      </x:c>
      <x:c r="J15" s="4"/>
      <x:c r="K15" s="4"/>
      <x:c r="L15" s="2"/>
      <x:c r="M15" s="2"/>
      <x:c r="N15" s="2"/>
      <x:c r="O15" s="2"/>
    </x:row>
    <x:row r="16" ht="22" customHeight="1">
      <x:c r="A16" s="2"/>
      <x:c r="B16" s="2"/>
      <x:c r="C16" s="2" t="str">
        <x:v>Income tax expense</x:v>
      </x:c>
      <x:c r="D16" s="2" t="str">
        <x:v>$m</x:v>
      </x:c>
      <x:c r="E16" s="21" t="n">
        <x:v>357.5</x:v>
      </x:c>
      <x:c r="F16" s="21" t="n">
        <x:v>396.6</x:v>
      </x:c>
      <x:c r="G16" s="21" t="n">
        <x:v>200.9</x:v>
      </x:c>
      <x:c r="H16" s="21" t="n">
        <x:v>227.8</x:v>
      </x:c>
      <x:c r="I16" s="4" t="str">
        <x:v>S1 p47 / S2 p2</x:v>
      </x:c>
      <x:c r="J16" s="4"/>
      <x:c r="K16" s="4"/>
      <x:c r="L16" s="2"/>
      <x:c r="M16" s="2"/>
      <x:c r="N16" s="2"/>
      <x:c r="O16" s="2"/>
    </x:row>
    <x:row r="17" ht="22" customHeight="1">
      <x:c r="A17" s="2"/>
      <x:c r="B17" s="2"/>
      <x:c r="C17" s="2" t="str">
        <x:v>Net income</x:v>
      </x:c>
      <x:c r="D17" s="2" t="str">
        <x:v>$m</x:v>
      </x:c>
      <x:c r="E17" s="21" t="n">
        <x:v>1150.6</x:v>
      </x:c>
      <x:c r="F17" s="21" t="n">
        <x:v>1258.4</x:v>
      </x:c>
      <x:c r="G17" s="21" t="n">
        <x:v>628.9</x:v>
      </x:c>
      <x:c r="H17" s="21" t="n">
        <x:v>722.6</x:v>
      </x:c>
      <x:c r="I17" s="4" t="str">
        <x:v>S1 p47 / S2 p2</x:v>
      </x:c>
      <x:c r="J17" s="4"/>
      <x:c r="K17" s="4"/>
      <x:c r="L17" s="2"/>
      <x:c r="M17" s="2"/>
      <x:c r="N17" s="2"/>
      <x:c r="O17" s="2"/>
    </x:row>
    <x:row r="18" ht="22" customHeight="1">
      <x:c r="A18" s="2"/>
      <x:c r="B18" s="2"/>
      <x:c r="C18" s="2" t="str">
        <x:v>Diluted weighted-average shares</x:v>
      </x:c>
      <x:c r="D18" s="2" t="str">
        <x:v>m</x:v>
      </x:c>
      <x:c r="E18" s="21" t="n">
        <x:v>1148.6</x:v>
      </x:c>
      <x:c r="F18" s="21" t="n">
        <x:v>1150.3</x:v>
      </x:c>
      <x:c r="G18" s="21" t="n">
        <x:v>1149.8</x:v>
      </x:c>
      <x:c r="H18" s="21" t="n">
        <x:v>1150.6</x:v>
      </x:c>
      <x:c r="I18" s="4" t="str">
        <x:v>S1 p47 / S2 p2</x:v>
      </x:c>
      <x:c r="J18" s="4"/>
      <x:c r="K18" s="4"/>
      <x:c r="L18" s="2"/>
      <x:c r="M18" s="2"/>
      <x:c r="N18" s="2"/>
      <x:c r="O18" s="2"/>
    </x:row>
    <x:row r="19" ht="22" customHeight="1">
      <x:c r="A19" s="2"/>
      <x:c r="B19" s="2"/>
      <x:c r="C19" s="2" t="str">
        <x:v>Reported diluted EPS</x:v>
      </x:c>
      <x:c r="D19" s="2" t="str">
        <x:v>$/share</x:v>
      </x:c>
      <x:c r="E19" s="28" t="n">
        <x:v>1</x:v>
      </x:c>
      <x:c r="F19" s="28" t="n">
        <x:v>1.09</x:v>
      </x:c>
      <x:c r="G19" s="28" t="n">
        <x:v>0.55</x:v>
      </x:c>
      <x:c r="H19" s="28" t="n">
        <x:v>0.63</x:v>
      </x:c>
      <x:c r="I19" s="4" t="str">
        <x:v>S1 p47 / S2 p2</x:v>
      </x:c>
      <x:c r="J19" s="4"/>
      <x:c r="K19" s="4"/>
      <x:c r="L19" s="2"/>
      <x:c r="M19" s="2"/>
      <x:c r="N19" s="2"/>
      <x:c r="O19" s="2"/>
    </x:row>
    <x:row r="20" ht="22" customHeight="1">
      <x:c r="A20" s="2"/>
      <x:c r="B20" s="2"/>
      <x:c r="C20" s="2"/>
      <x:c r="D20" s="2"/>
      <x:c r="E20" s="4"/>
      <x:c r="F20" s="4"/>
      <x:c r="G20" s="4"/>
      <x:c r="H20" s="4"/>
      <x:c r="I20" s="4"/>
      <x:c r="J20" s="4"/>
      <x:c r="K20" s="4"/>
      <x:c r="L20" s="2"/>
      <x:c r="M20" s="2"/>
      <x:c r="N20" s="2"/>
      <x:c r="O20" s="2"/>
    </x:row>
    <x:row r="21" ht="26" customHeight="1">
      <x:c r="A21" s="2"/>
      <x:c r="B21" s="2"/>
      <x:c r="C21" s="26" t="str">
        <x:v>Balance-sheet inputs at period end</x:v>
      </x:c>
      <x:c r="D21" s="26" t="str">
        <x:v>Balance-sheet inputs at period end</x:v>
      </x:c>
      <x:c r="E21" s="27" t="str">
        <x:v>Balance-sheet inputs at period end</x:v>
      </x:c>
      <x:c r="F21" s="27" t="str">
        <x:v>Balance-sheet inputs at period end</x:v>
      </x:c>
      <x:c r="G21" s="27" t="str">
        <x:v>Balance-sheet inputs at period end</x:v>
      </x:c>
      <x:c r="H21" s="27" t="str">
        <x:v>Balance-sheet inputs at period end</x:v>
      </x:c>
      <x:c r="I21" s="27" t="str">
        <x:v>Balance-sheet inputs at period end</x:v>
      </x:c>
      <x:c r="J21" s="27" t="str">
        <x:v>Balance-sheet inputs at period end</x:v>
      </x:c>
      <x:c r="K21" s="27" t="str">
        <x:v>Balance-sheet inputs at period end</x:v>
      </x:c>
      <x:c r="L21" s="2"/>
      <x:c r="M21" s="2"/>
      <x:c r="N21" s="2"/>
      <x:c r="O21" s="2"/>
    </x:row>
    <x:row r="22" ht="22" customHeight="1">
      <x:c r="A22" s="2"/>
      <x:c r="B22" s="2"/>
      <x:c r="C22" s="2" t="str">
        <x:v>Trade receivables, net</x:v>
      </x:c>
      <x:c r="D22" s="2" t="str">
        <x:v>$m</x:v>
      </x:c>
      <x:c r="E22" s="21" t="n">
        <x:v>1108.6</x:v>
      </x:c>
      <x:c r="F22" s="21" t="n">
        <x:v>1245.3</x:v>
      </x:c>
      <x:c r="G22" s="21" t="n">
        <x:v>1324.2</x:v>
      </x:c>
      <x:c r="H22" s="21" t="n">
        <x:v>1557.4</x:v>
      </x:c>
      <x:c r="I22" s="4" t="str">
        <x:v>S1 p46 / S2 p20</x:v>
      </x:c>
      <x:c r="J22" s="4"/>
      <x:c r="K22" s="4"/>
      <x:c r="L22" s="2"/>
      <x:c r="M22" s="2"/>
      <x:c r="N22" s="2"/>
      <x:c r="O22" s="2"/>
    </x:row>
    <x:row r="23" ht="22" customHeight="1">
      <x:c r="A23" s="2"/>
      <x:c r="B23" s="2"/>
      <x:c r="C23" s="2" t="str">
        <x:v>Inventories</x:v>
      </x:c>
      <x:c r="D23" s="2" t="str">
        <x:v>$m</x:v>
      </x:c>
      <x:c r="E23" s="21" t="n">
        <x:v>1645</x:v>
      </x:c>
      <x:c r="F23" s="21" t="n">
        <x:v>1748</x:v>
      </x:c>
      <x:c r="G23" s="21" t="n">
        <x:v>1726.3</x:v>
      </x:c>
      <x:c r="H23" s="21" t="n">
        <x:v>1735.2</x:v>
      </x:c>
      <x:c r="I23" s="4" t="str">
        <x:v>S1 p46 / S2 p20</x:v>
      </x:c>
      <x:c r="J23" s="4"/>
      <x:c r="K23" s="4"/>
      <x:c r="L23" s="2"/>
      <x:c r="M23" s="2"/>
      <x:c r="N23" s="2"/>
      <x:c r="O23" s="2"/>
    </x:row>
    <x:row r="24" ht="22" customHeight="1">
      <x:c r="A24" s="2"/>
      <x:c r="B24" s="2"/>
      <x:c r="C24" s="2" t="str">
        <x:v>Accounts payable</x:v>
      </x:c>
      <x:c r="D24" s="2" t="str">
        <x:v>$m</x:v>
      </x:c>
      <x:c r="E24" s="21" t="n">
        <x:v>287.7</x:v>
      </x:c>
      <x:c r="F24" s="21" t="n">
        <x:v>316.8</x:v>
      </x:c>
      <x:c r="G24" s="21" t="n">
        <x:v>319.3</x:v>
      </x:c>
      <x:c r="H24" s="21" t="n">
        <x:v>399.8</x:v>
      </x:c>
      <x:c r="I24" s="4" t="str">
        <x:v>S1 p46 / S2 p20</x:v>
      </x:c>
      <x:c r="J24" s="4"/>
      <x:c r="K24" s="4"/>
      <x:c r="L24" s="2"/>
      <x:c r="M24" s="2"/>
      <x:c r="N24" s="2"/>
      <x:c r="O24" s="2"/>
    </x:row>
    <x:row r="25" ht="22" customHeight="1">
      <x:c r="A25" s="2"/>
      <x:c r="B25" s="2"/>
      <x:c r="C25" s="2" t="str">
        <x:v>Other current assets</x:v>
      </x:c>
      <x:c r="D25" s="2" t="str">
        <x:v>$m</x:v>
      </x:c>
      <x:c r="E25" s="21" t="n">
        <x:v>183.7</x:v>
      </x:c>
      <x:c r="F25" s="21" t="n">
        <x:v>181.9</x:v>
      </x:c>
      <x:c r="G25" s="21"/>
      <x:c r="H25" s="21" t="n">
        <x:v>179</x:v>
      </x:c>
      <x:c r="I25" s="4" t="str">
        <x:v>S1 p46 / S2 p1</x:v>
      </x:c>
      <x:c r="J25" s="4"/>
      <x:c r="K25" s="4"/>
      <x:c r="L25" s="2"/>
      <x:c r="M25" s="2"/>
      <x:c r="N25" s="2"/>
      <x:c r="O25" s="2"/>
    </x:row>
    <x:row r="26" ht="22" customHeight="1">
      <x:c r="A26" s="2"/>
      <x:c r="B26" s="2"/>
      <x:c r="C26" s="2" t="str">
        <x:v>Accrued expenses</x:v>
      </x:c>
      <x:c r="D26" s="2" t="str">
        <x:v>$m</x:v>
      </x:c>
      <x:c r="E26" s="21" t="n">
        <x:v>225.6</x:v>
      </x:c>
      <x:c r="F26" s="21" t="n">
        <x:v>264.7</x:v>
      </x:c>
      <x:c r="G26" s="21"/>
      <x:c r="H26" s="21" t="n">
        <x:v>288.7</x:v>
      </x:c>
      <x:c r="I26" s="4" t="str">
        <x:v>S1 p46 / S2 p1</x:v>
      </x:c>
      <x:c r="J26" s="4"/>
      <x:c r="K26" s="4"/>
      <x:c r="L26" s="2"/>
      <x:c r="M26" s="2"/>
      <x:c r="N26" s="2"/>
      <x:c r="O26" s="2"/>
    </x:row>
    <x:row r="27" ht="22" customHeight="1">
      <x:c r="A27" s="2"/>
      <x:c r="B27" s="2"/>
      <x:c r="C27" s="2"/>
      <x:c r="D27" s="2"/>
      <x:c r="E27" s="4"/>
      <x:c r="F27" s="4"/>
      <x:c r="G27" s="4"/>
      <x:c r="H27" s="4"/>
      <x:c r="I27" s="4"/>
      <x:c r="J27" s="4"/>
      <x:c r="K27" s="4"/>
      <x:c r="L27" s="2"/>
      <x:c r="M27" s="2"/>
      <x:c r="N27" s="2"/>
      <x:c r="O27" s="2"/>
    </x:row>
    <x:row r="28" ht="26" customHeight="1">
      <x:c r="A28" s="2"/>
      <x:c r="B28" s="2"/>
      <x:c r="C28" s="26" t="str">
        <x:v>Non-cash adjustments</x:v>
      </x:c>
      <x:c r="D28" s="26" t="str">
        <x:v>Non-cash adjustments</x:v>
      </x:c>
      <x:c r="E28" s="27" t="str">
        <x:v>Non-cash adjustments</x:v>
      </x:c>
      <x:c r="F28" s="27" t="str">
        <x:v>Non-cash adjustments</x:v>
      </x:c>
      <x:c r="G28" s="27" t="str">
        <x:v>Non-cash adjustments</x:v>
      </x:c>
      <x:c r="H28" s="27" t="str">
        <x:v>Non-cash adjustments</x:v>
      </x:c>
      <x:c r="I28" s="27" t="str">
        <x:v>Non-cash adjustments</x:v>
      </x:c>
      <x:c r="J28" s="27" t="str">
        <x:v>Non-cash adjustments</x:v>
      </x:c>
      <x:c r="K28" s="27" t="str">
        <x:v>Non-cash adjustments</x:v>
      </x:c>
      <x:c r="L28" s="2"/>
      <x:c r="M28" s="2"/>
      <x:c r="N28" s="2"/>
      <x:c r="O28" s="2"/>
    </x:row>
    <x:row r="29" ht="22" customHeight="1">
      <x:c r="A29" s="2"/>
      <x:c r="B29" s="2"/>
      <x:c r="C29" s="2" t="str">
        <x:v>Depreciation</x:v>
      </x:c>
      <x:c r="D29" s="2" t="str">
        <x:v>$m</x:v>
      </x:c>
      <x:c r="E29" s="21" t="n">
        <x:v>164.7</x:v>
      </x:c>
      <x:c r="F29" s="21" t="n">
        <x:v>168.5</x:v>
      </x:c>
      <x:c r="G29" s="21" t="n">
        <x:v>84.4</x:v>
      </x:c>
      <x:c r="H29" s="21" t="n">
        <x:v>84.8</x:v>
      </x:c>
      <x:c r="I29" s="4" t="str">
        <x:v>S1 p50 / S2 p5</x:v>
      </x:c>
      <x:c r="J29" s="4"/>
      <x:c r="K29" s="4"/>
      <x:c r="L29" s="2"/>
      <x:c r="M29" s="2"/>
      <x:c r="N29" s="2"/>
      <x:c r="O29" s="2"/>
    </x:row>
    <x:row r="30" ht="22" customHeight="1">
      <x:c r="A30" s="2"/>
      <x:c r="B30" s="2"/>
      <x:c r="C30" s="2" t="str">
        <x:v>Amortization</x:v>
      </x:c>
      <x:c r="D30" s="2" t="str">
        <x:v>$m</x:v>
      </x:c>
      <x:c r="E30" s="21" t="n">
        <x:v>10.7</x:v>
      </x:c>
      <x:c r="F30" s="21" t="n">
        <x:v>10.7</x:v>
      </x:c>
      <x:c r="G30" s="21" t="n">
        <x:v>5.4</x:v>
      </x:c>
      <x:c r="H30" s="21" t="n">
        <x:v>5.4</x:v>
      </x:c>
      <x:c r="I30" s="4" t="str">
        <x:v>S1 p50 / S2 p5</x:v>
      </x:c>
      <x:c r="J30" s="4"/>
      <x:c r="K30" s="4"/>
      <x:c r="L30" s="2"/>
      <x:c r="M30" s="2"/>
      <x:c r="N30" s="2"/>
      <x:c r="O30" s="2"/>
    </x:row>
    <x:row r="31" ht="22" customHeight="1">
      <x:c r="A31" s="2"/>
      <x:c r="B31" s="2"/>
      <x:c r="C31" s="2" t="str">
        <x:v>Stock-based compensation</x:v>
      </x:c>
      <x:c r="D31" s="2" t="str">
        <x:v>$m</x:v>
      </x:c>
      <x:c r="E31" s="21" t="n">
        <x:v>8</x:v>
      </x:c>
      <x:c r="F31" s="21" t="n">
        <x:v>8.4</x:v>
      </x:c>
      <x:c r="G31" s="21" t="n">
        <x:v>4.1</x:v>
      </x:c>
      <x:c r="H31" s="21" t="n">
        <x:v>5.2</x:v>
      </x:c>
      <x:c r="I31" s="4" t="str">
        <x:v>S1 p50 / S2 p5</x:v>
      </x:c>
      <x:c r="J31" s="4"/>
      <x:c r="K31" s="4"/>
      <x:c r="L31" s="2"/>
      <x:c r="M31" s="2"/>
      <x:c r="N31" s="2"/>
      <x:c r="O31" s="2"/>
    </x:row>
    <x:row r="32" ht="22" customHeight="1">
      <x:c r="A32" s="2"/>
      <x:c r="B32" s="2"/>
      <x:c r="C32" s="2" t="str">
        <x:v>Loss / (gain) on asset sales</x:v>
      </x:c>
      <x:c r="D32" s="2" t="str">
        <x:v>$m</x:v>
      </x:c>
      <x:c r="E32" s="21" t="n">
        <x:v>-3.8</x:v>
      </x:c>
      <x:c r="F32" s="21" t="n">
        <x:v>-3.1</x:v>
      </x:c>
      <x:c r="G32" s="21" t="n">
        <x:v>-1.6</x:v>
      </x:c>
      <x:c r="H32" s="21" t="n">
        <x:v>0.2</x:v>
      </x:c>
      <x:c r="I32" s="4" t="str">
        <x:v>S1 p50 / S2 p5</x:v>
      </x:c>
      <x:c r="J32" s="4"/>
      <x:c r="K32" s="4"/>
      <x:c r="L32" s="2"/>
      <x:c r="M32" s="2"/>
      <x:c r="N32" s="2"/>
      <x:c r="O32" s="2"/>
    </x:row>
    <x:row r="33" ht="22" customHeight="1">
      <x:c r="A33" s="2"/>
      <x:c r="B33" s="2"/>
      <x:c r="C33" s="2" t="str">
        <x:v>Bad debt expense</x:v>
      </x:c>
      <x:c r="D33" s="2" t="str">
        <x:v>$m</x:v>
      </x:c>
      <x:c r="E33" s="21" t="n">
        <x:v>1.3</x:v>
      </x:c>
      <x:c r="F33" s="21" t="n">
        <x:v>4.6</x:v>
      </x:c>
      <x:c r="G33" s="21" t="n">
        <x:v>1.9</x:v>
      </x:c>
      <x:c r="H33" s="21" t="n">
        <x:v>3.3</x:v>
      </x:c>
      <x:c r="I33" s="4" t="str">
        <x:v>S1 p50 / S2 p5</x:v>
      </x:c>
      <x:c r="J33" s="4"/>
      <x:c r="K33" s="4"/>
      <x:c r="L33" s="2"/>
      <x:c r="M33" s="2"/>
      <x:c r="N33" s="2"/>
      <x:c r="O33" s="2"/>
    </x:row>
    <x:row r="34" ht="22" customHeight="1">
      <x:c r="A34" s="2"/>
      <x:c r="B34" s="2"/>
      <x:c r="C34" s="2" t="str">
        <x:v>Deferred income taxes</x:v>
      </x:c>
      <x:c r="D34" s="2" t="str">
        <x:v>$m</x:v>
      </x:c>
      <x:c r="E34" s="21" t="n">
        <x:v>-4.1</x:v>
      </x:c>
      <x:c r="F34" s="21" t="n">
        <x:v>-1.6</x:v>
      </x:c>
      <x:c r="G34" s="21" t="n">
        <x:v>1.4</x:v>
      </x:c>
      <x:c r="H34" s="21" t="n">
        <x:v>-1.6</x:v>
      </x:c>
      <x:c r="I34" s="4" t="str">
        <x:v>S1 p50 / S2 p5</x:v>
      </x:c>
      <x:c r="J34" s="4"/>
      <x:c r="K34" s="4"/>
      <x:c r="L34" s="2"/>
      <x:c r="M34" s="2"/>
      <x:c r="N34" s="2"/>
      <x:c r="O34" s="2"/>
    </x:row>
    <x:row r="35" ht="26" customHeight="1">
      <x:c r="A35" s="2"/>
      <x:c r="B35" s="2"/>
      <x:c r="C35" s="26" t="str">
        <x:v>Reported operating cash movements</x:v>
      </x:c>
      <x:c r="D35" s="26" t="str">
        <x:v>Reported operating cash movements</x:v>
      </x:c>
      <x:c r="E35" s="27" t="str">
        <x:v>Reported operating cash movements</x:v>
      </x:c>
      <x:c r="F35" s="27" t="str">
        <x:v>Reported operating cash movements</x:v>
      </x:c>
      <x:c r="G35" s="27" t="str">
        <x:v>Reported operating cash movements</x:v>
      </x:c>
      <x:c r="H35" s="27" t="str">
        <x:v>Reported operating cash movements</x:v>
      </x:c>
      <x:c r="I35" s="27" t="str">
        <x:v>Reported operating cash movements</x:v>
      </x:c>
      <x:c r="J35" s="27" t="str">
        <x:v>Reported operating cash movements</x:v>
      </x:c>
      <x:c r="K35" s="27" t="str">
        <x:v>Reported operating cash movements</x:v>
      </x:c>
      <x:c r="L35" s="2"/>
      <x:c r="M35" s="2"/>
      <x:c r="N35" s="2"/>
      <x:c r="O35" s="2"/>
    </x:row>
    <x:row r="36" ht="22" customHeight="1">
      <x:c r="A36" s="2"/>
      <x:c r="B36" s="2"/>
      <x:c r="C36" s="2" t="str">
        <x:v>Cash effect: receivables</x:v>
      </x:c>
      <x:c r="D36" s="2" t="str">
        <x:v>$m</x:v>
      </x:c>
      <x:c r="E36" s="21" t="n">
        <x:v>-31.9</x:v>
      </x:c>
      <x:c r="F36" s="21" t="n">
        <x:v>-130.1</x:v>
      </x:c>
      <x:c r="G36" s="21" t="n">
        <x:v>-206.4</x:v>
      </x:c>
      <x:c r="H36" s="21" t="n">
        <x:v>-320.2</x:v>
      </x:c>
      <x:c r="I36" s="4" t="str">
        <x:v>S1 p50 / S2 p5</x:v>
      </x:c>
      <x:c r="J36" s="4"/>
      <x:c r="K36" s="4"/>
      <x:c r="L36" s="2"/>
      <x:c r="M36" s="2"/>
      <x:c r="N36" s="2"/>
      <x:c r="O36" s="2"/>
    </x:row>
    <x:row r="37" ht="22" customHeight="1">
      <x:c r="A37" s="2"/>
      <x:c r="B37" s="2"/>
      <x:c r="C37" s="2" t="str">
        <x:v>Cash effect: inventory</x:v>
      </x:c>
      <x:c r="D37" s="2" t="str">
        <x:v>$m</x:v>
      </x:c>
      <x:c r="E37" s="21" t="n">
        <x:v>-133.9</x:v>
      </x:c>
      <x:c r="F37" s="21" t="n">
        <x:v>-89.2</x:v>
      </x:c>
      <x:c r="G37" s="21" t="n">
        <x:v>-67.7</x:v>
      </x:c>
      <x:c r="H37" s="21" t="n">
        <x:v>7.7</x:v>
      </x:c>
      <x:c r="I37" s="4" t="str">
        <x:v>S1 p50 / S2 p5</x:v>
      </x:c>
      <x:c r="J37" s="4"/>
      <x:c r="K37" s="4"/>
      <x:c r="L37" s="2"/>
      <x:c r="M37" s="2"/>
      <x:c r="N37" s="2"/>
      <x:c r="O37" s="2"/>
    </x:row>
    <x:row r="38" ht="22" customHeight="1">
      <x:c r="A38" s="2"/>
      <x:c r="B38" s="2"/>
      <x:c r="C38" s="2" t="str">
        <x:v>Cash effect: other current assets</x:v>
      </x:c>
      <x:c r="D38" s="2" t="str">
        <x:v>$m</x:v>
      </x:c>
      <x:c r="E38" s="21" t="n">
        <x:v>-11.9</x:v>
      </x:c>
      <x:c r="F38" s="21" t="n">
        <x:v>2.6</x:v>
      </x:c>
      <x:c r="G38" s="21" t="n">
        <x:v>25.6</x:v>
      </x:c>
      <x:c r="H38" s="21" t="n">
        <x:v>2.4</x:v>
      </x:c>
      <x:c r="I38" s="4" t="str">
        <x:v>S1 p50 / S2 p5</x:v>
      </x:c>
      <x:c r="J38" s="4"/>
      <x:c r="K38" s="4"/>
      <x:c r="L38" s="2"/>
      <x:c r="M38" s="2"/>
      <x:c r="N38" s="2"/>
      <x:c r="O38" s="2"/>
    </x:row>
    <x:row r="39" ht="22" customHeight="1">
      <x:c r="A39" s="2"/>
      <x:c r="B39" s="2"/>
      <x:c r="C39" s="2" t="str">
        <x:v>Cash effect: accounts payable</x:v>
      </x:c>
      <x:c r="D39" s="2" t="str">
        <x:v>$m</x:v>
      </x:c>
      <x:c r="E39" s="21" t="n">
        <x:v>27.5</x:v>
      </x:c>
      <x:c r="F39" s="21" t="n">
        <x:v>26</x:v>
      </x:c>
      <x:c r="G39" s="21" t="n">
        <x:v>24.7</x:v>
      </x:c>
      <x:c r="H39" s="21" t="n">
        <x:v>84.1</x:v>
      </x:c>
      <x:c r="I39" s="4" t="str">
        <x:v>S1 p50 / S2 p5</x:v>
      </x:c>
      <x:c r="J39" s="4"/>
      <x:c r="K39" s="4"/>
      <x:c r="L39" s="2"/>
      <x:c r="M39" s="2"/>
      <x:c r="N39" s="2"/>
      <x:c r="O39" s="2"/>
    </x:row>
    <x:row r="40" ht="22" customHeight="1">
      <x:c r="A40" s="2"/>
      <x:c r="B40" s="2"/>
      <x:c r="C40" s="2" t="str">
        <x:v>Cash effect: accrued expenses</x:v>
      </x:c>
      <x:c r="D40" s="2" t="str">
        <x:v>$m</x:v>
      </x:c>
      <x:c r="E40" s="21" t="n">
        <x:v>-16.5</x:v>
      </x:c>
      <x:c r="F40" s="21" t="n">
        <x:v>33.3</x:v>
      </x:c>
      <x:c r="G40" s="21" t="n">
        <x:v>30.1</x:v>
      </x:c>
      <x:c r="H40" s="21" t="n">
        <x:v>28.6</x:v>
      </x:c>
      <x:c r="I40" s="4" t="str">
        <x:v>S1 p50 / S2 p5</x:v>
      </x:c>
      <x:c r="J40" s="4"/>
      <x:c r="K40" s="4"/>
      <x:c r="L40" s="2"/>
      <x:c r="M40" s="2"/>
      <x:c r="N40" s="2"/>
      <x:c r="O40" s="2"/>
    </x:row>
    <x:row r="41" ht="22" customHeight="1">
      <x:c r="A41" s="2"/>
      <x:c r="B41" s="2"/>
      <x:c r="C41" s="2" t="str">
        <x:v>Cash effect: income taxes</x:v>
      </x:c>
      <x:c r="D41" s="2" t="str">
        <x:v>$m</x:v>
      </x:c>
      <x:c r="E41" s="21" t="n">
        <x:v>-1.3</x:v>
      </x:c>
      <x:c r="F41" s="21" t="n">
        <x:v>2.1</x:v>
      </x:c>
      <x:c r="G41" s="21" t="n">
        <x:v>12.5</x:v>
      </x:c>
      <x:c r="H41" s="21" t="n">
        <x:v>24.2</x:v>
      </x:c>
      <x:c r="I41" s="4" t="str">
        <x:v>S1 p50 / S2 p5</x:v>
      </x:c>
      <x:c r="J41" s="4"/>
      <x:c r="K41" s="4"/>
      <x:c r="L41" s="2"/>
      <x:c r="M41" s="2"/>
      <x:c r="N41" s="2"/>
      <x:c r="O41" s="2"/>
    </x:row>
    <x:row r="42" ht="22" customHeight="1">
      <x:c r="A42" s="2"/>
      <x:c r="B42" s="2"/>
      <x:c r="C42" s="2" t="str">
        <x:v>Cash effect: other</x:v>
      </x:c>
      <x:c r="D42" s="2" t="str">
        <x:v>$m</x:v>
      </x:c>
      <x:c r="E42" s="21" t="n">
        <x:v>13.9</x:v>
      </x:c>
      <x:c r="F42" s="21" t="n">
        <x:v>5.3</x:v>
      </x:c>
      <x:c r="G42" s="21" t="n">
        <x:v>-2.5</x:v>
      </x:c>
      <x:c r="H42" s="21" t="n">
        <x:v>-2.4</x:v>
      </x:c>
      <x:c r="I42" s="4" t="str">
        <x:v>S1 p50 / S2 p5</x:v>
      </x:c>
      <x:c r="J42" s="4"/>
      <x:c r="K42" s="4"/>
      <x:c r="L42" s="2"/>
      <x:c r="M42" s="2"/>
      <x:c r="N42" s="2"/>
      <x:c r="O42" s="2"/>
    </x:row>
    <x:row r="43" ht="26" customHeight="1">
      <x:c r="A43" s="2"/>
      <x:c r="B43" s="2"/>
      <x:c r="C43" s="26" t="str">
        <x:v>Reported cash-flow totals</x:v>
      </x:c>
      <x:c r="D43" s="26" t="str">
        <x:v>Reported cash-flow totals</x:v>
      </x:c>
      <x:c r="E43" s="27" t="str">
        <x:v>Reported cash-flow totals</x:v>
      </x:c>
      <x:c r="F43" s="27" t="str">
        <x:v>Reported cash-flow totals</x:v>
      </x:c>
      <x:c r="G43" s="27" t="str">
        <x:v>Reported cash-flow totals</x:v>
      </x:c>
      <x:c r="H43" s="27" t="str">
        <x:v>Reported cash-flow totals</x:v>
      </x:c>
      <x:c r="I43" s="27" t="str">
        <x:v>Reported cash-flow totals</x:v>
      </x:c>
      <x:c r="J43" s="27" t="str">
        <x:v>Reported cash-flow totals</x:v>
      </x:c>
      <x:c r="K43" s="27" t="str">
        <x:v>Reported cash-flow totals</x:v>
      </x:c>
      <x:c r="L43" s="2"/>
      <x:c r="M43" s="2"/>
      <x:c r="N43" s="2"/>
      <x:c r="O43" s="2"/>
    </x:row>
    <x:row r="44" ht="22" customHeight="1">
      <x:c r="A44" s="2"/>
      <x:c r="B44" s="2"/>
      <x:c r="C44" s="2" t="str">
        <x:v>Reported operating cash flow</x:v>
      </x:c>
      <x:c r="D44" s="2" t="str">
        <x:v>$m</x:v>
      </x:c>
      <x:c r="E44" s="21" t="n">
        <x:v>1173.3</x:v>
      </x:c>
      <x:c r="F44" s="21" t="n">
        <x:v>1295.9</x:v>
      </x:c>
      <x:c r="G44" s="21" t="n">
        <x:v>540.8</x:v>
      </x:c>
      <x:c r="H44" s="21" t="n">
        <x:v>644.1</x:v>
      </x:c>
      <x:c r="I44" s="4" t="str">
        <x:v>S1 p50 / S2 p5</x:v>
      </x:c>
      <x:c r="J44" s="4"/>
      <x:c r="K44" s="4"/>
      <x:c r="L44" s="2"/>
      <x:c r="M44" s="2"/>
      <x:c r="N44" s="2"/>
      <x:c r="O44" s="2"/>
    </x:row>
    <x:row r="45" ht="22" customHeight="1">
      <x:c r="A45" s="2"/>
      <x:c r="B45" s="2"/>
      <x:c r="C45" s="2" t="str">
        <x:v>Gross capital expenditures</x:v>
      </x:c>
      <x:c r="D45" s="2" t="str">
        <x:v>$m</x:v>
      </x:c>
      <x:c r="E45" s="21" t="n">
        <x:v>226.5</x:v>
      </x:c>
      <x:c r="F45" s="21" t="n">
        <x:v>245.3</x:v>
      </x:c>
      <x:c r="G45" s="21" t="n">
        <x:v>125</x:v>
      </x:c>
      <x:c r="H45" s="21" t="n">
        <x:v>123</x:v>
      </x:c>
      <x:c r="I45" s="4" t="str">
        <x:v>S1 p50 / S2 p5</x:v>
      </x:c>
      <x:c r="J45" s="4"/>
      <x:c r="K45" s="4"/>
      <x:c r="L45" s="2"/>
      <x:c r="M45" s="2"/>
      <x:c r="N45" s="2"/>
      <x:c r="O45" s="2"/>
    </x:row>
    <x:row r="46" ht="22" customHeight="1">
      <x:c r="A46" s="2"/>
      <x:c r="B46" s="2"/>
      <x:c r="C46" s="2" t="str">
        <x:v>Asset disposal proceeds</x:v>
      </x:c>
      <x:c r="D46" s="2" t="str">
        <x:v>$m</x:v>
      </x:c>
      <x:c r="E46" s="21" t="n">
        <x:v>12.4</x:v>
      </x:c>
      <x:c r="F46" s="21" t="n">
        <x:v>14.8</x:v>
      </x:c>
      <x:c r="G46" s="21" t="n">
        <x:v>6.9</x:v>
      </x:c>
      <x:c r="H46" s="21" t="n">
        <x:v>4.8</x:v>
      </x:c>
      <x:c r="I46" s="4" t="str">
        <x:v>S1 p50 / S2 p5</x:v>
      </x:c>
      <x:c r="J46" s="4"/>
      <x:c r="K46" s="4"/>
      <x:c r="L46" s="2"/>
      <x:c r="M46" s="2"/>
      <x:c r="N46" s="2"/>
      <x:c r="O46" s="2"/>
    </x:row>
    <x:row r="47" ht="22" customHeight="1">
      <x:c r="A47" s="2"/>
      <x:c r="B47" s="2"/>
      <x:c r="C47" s="2"/>
      <x:c r="D47" s="2"/>
      <x:c r="E47" s="4"/>
      <x:c r="F47" s="4"/>
      <x:c r="G47" s="4"/>
      <x:c r="H47" s="4"/>
      <x:c r="I47" s="4"/>
      <x:c r="J47" s="4"/>
      <x:c r="K47" s="4"/>
      <x:c r="L47" s="2"/>
      <x:c r="M47" s="2"/>
      <x:c r="N47" s="2"/>
      <x:c r="O47" s="2"/>
    </x:row>
    <x:row r="48" ht="22" customHeight="1">
      <x:c r="A48" s="2"/>
      <x:c r="B48" s="2"/>
      <x:c r="C48" s="2" t="str">
        <x:v>Company-reported net capex</x:v>
      </x:c>
      <x:c r="D48" s="2" t="str">
        <x:v>$m</x:v>
      </x:c>
      <x:c r="E48" s="21" t="n">
        <x:v>214.1</x:v>
      </x:c>
      <x:c r="F48" s="21" t="n">
        <x:v>230.6</x:v>
      </x:c>
      <x:c r="G48" s="21" t="n">
        <x:v>118.1</x:v>
      </x:c>
      <x:c r="H48" s="21" t="n">
        <x:v>118.2</x:v>
      </x:c>
      <x:c r="I48" s="4" t="str">
        <x:v>S1 p6 / S2 p26</x:v>
      </x:c>
      <x:c r="J48" s="4"/>
      <x:c r="K48" s="4"/>
      <x:c r="L48" s="2"/>
      <x:c r="M48" s="2"/>
      <x:c r="N48" s="2"/>
      <x:c r="O48" s="2"/>
    </x:row>
    <x:row r="49" ht="22" customHeight="1">
      <x:c r="A49" s="2"/>
      <x:c r="B49" s="2"/>
      <x:c r="C49" s="2"/>
      <x:c r="D49" s="2"/>
      <x:c r="E49" s="4"/>
      <x:c r="F49" s="4"/>
      <x:c r="G49" s="4"/>
      <x:c r="H49" s="4"/>
      <x:c r="I49" s="4"/>
      <x:c r="J49" s="4"/>
      <x:c r="K49" s="4"/>
      <x:c r="L49" s="2"/>
      <x:c r="M49" s="2"/>
      <x:c r="N49" s="2"/>
      <x:c r="O49" s="2"/>
    </x:row>
    <x:row r="50" ht="22" customHeight="1">
      <x:c r="A50" s="2"/>
      <x:c r="B50" s="2"/>
      <x:c r="C50" s="2"/>
      <x:c r="D50" s="2"/>
      <x:c r="E50" s="4"/>
      <x:c r="F50" s="4"/>
      <x:c r="G50" s="4"/>
      <x:c r="H50" s="4"/>
      <x:c r="I50" s="4"/>
      <x:c r="J50" s="4"/>
      <x:c r="K50" s="4"/>
      <x:c r="L50" s="2"/>
      <x:c r="M50" s="2"/>
      <x:c r="N50" s="2"/>
      <x:c r="O50" s="2"/>
    </x:row>
    <x:row r="51" ht="26" customHeight="1">
      <x:c r="A51" s="2"/>
      <x:c r="B51" s="2"/>
      <x:c r="C51" s="26" t="str">
        <x:v>Source register and accounting treatment</x:v>
      </x:c>
      <x:c r="D51" s="26" t="str">
        <x:v>Source register and accounting treatment</x:v>
      </x:c>
      <x:c r="E51" s="27" t="str">
        <x:v>Source register and accounting treatment</x:v>
      </x:c>
      <x:c r="F51" s="27" t="str">
        <x:v>Source register and accounting treatment</x:v>
      </x:c>
      <x:c r="G51" s="27" t="str">
        <x:v>Source register and accounting treatment</x:v>
      </x:c>
      <x:c r="H51" s="27" t="str">
        <x:v>Source register and accounting treatment</x:v>
      </x:c>
      <x:c r="I51" s="27" t="str">
        <x:v>Source register and accounting treatment</x:v>
      </x:c>
      <x:c r="J51" s="27" t="str">
        <x:v>Source register and accounting treatment</x:v>
      </x:c>
      <x:c r="K51" s="27" t="str">
        <x:v>Source register and accounting treatment</x:v>
      </x:c>
      <x:c r="L51" s="2"/>
      <x:c r="M51" s="2"/>
      <x:c r="N51" s="2"/>
      <x:c r="O51" s="2"/>
    </x:row>
    <x:row r="52" ht="22" customHeight="1">
      <x:c r="A52" s="2"/>
      <x:c r="B52" s="2"/>
      <x:c r="C52" s="2"/>
      <x:c r="D52" s="2"/>
      <x:c r="E52" s="4"/>
      <x:c r="F52" s="4"/>
      <x:c r="G52" s="4"/>
      <x:c r="H52" s="4"/>
      <x:c r="I52" s="4"/>
      <x:c r="J52" s="4"/>
      <x:c r="K52" s="4"/>
      <x:c r="L52" s="2"/>
      <x:c r="M52" s="2"/>
      <x:c r="N52" s="2"/>
      <x:c r="O52" s="2"/>
    </x:row>
    <x:row r="53" ht="24" customHeight="1">
      <x:c r="A53" s="2"/>
      <x:c r="B53" s="2"/>
      <x:c r="C53" s="24" t="str">
        <x:v>S1 · Fastenal 2025 Annual Report. Printed pages 46, 47 and 50 (PDF pages 59, 60 and 63).</x:v>
      </x:c>
      <x:c r="D53" s="24" t="str">
        <x:v>S1 · Fastenal 2025 Annual Report. Printed pages 46, 47 and 50 (PDF pages 59, 60 and 63).</x:v>
      </x:c>
      <x:c r="E53" s="25" t="str">
        <x:v>S1 · Fastenal 2025 Annual Report. Printed pages 46, 47 and 50 (PDF pages 59, 60 and 63).</x:v>
      </x:c>
      <x:c r="F53" s="25" t="str">
        <x:v>S1 · Fastenal 2025 Annual Report. Printed pages 46, 47 and 50 (PDF pages 59, 60 and 63).</x:v>
      </x:c>
      <x:c r="G53" s="25" t="str">
        <x:v>S1 · Fastenal 2025 Annual Report. Printed pages 46, 47 and 50 (PDF pages 59, 60 and 63).</x:v>
      </x:c>
      <x:c r="H53" s="25" t="str">
        <x:v>S1 · Fastenal 2025 Annual Report. Printed pages 46, 47 and 50 (PDF pages 59, 60 and 63).</x:v>
      </x:c>
      <x:c r="I53" s="25" t="str">
        <x:v>S1 · Fastenal 2025 Annual Report. Printed pages 46, 47 and 50 (PDF pages 59, 60 and 63).</x:v>
      </x:c>
      <x:c r="J53" s="25" t="str">
        <x:v>S1 · Fastenal 2025 Annual Report. Printed pages 46, 47 and 50 (PDF pages 59, 60 and 63).</x:v>
      </x:c>
      <x:c r="K53" s="25" t="str">
        <x:v>S1 · Fastenal 2025 Annual Report. Printed pages 46, 47 and 50 (PDF pages 59, 60 and 63).</x:v>
      </x:c>
      <x:c r="L53" s="2"/>
      <x:c r="M53" s="2"/>
      <x:c r="N53" s="2"/>
      <x:c r="O53" s="2"/>
    </x:row>
    <x:row r="54" ht="24" customHeight="1">
      <x:c r="A54" s="2"/>
      <x:c r="B54" s="2"/>
      <x:c r="C54" s="31" t="str">
        <x:v>https://www.sec.gov/Archives/edgar/data/815556/000081555626000015/a2025annualreportandwithex.pdf</x:v>
      </x:c>
      <x:c r="D54" s="31" t="str">
        <x:v>https://www.sec.gov/Archives/edgar/data/815556/000081555626000015/a2025annualreportandwithex.pdf</x:v>
      </x:c>
      <x:c r="E54" s="32" t="str">
        <x:v>https://www.sec.gov/Archives/edgar/data/815556/000081555626000015/a2025annualreportandwithex.pdf</x:v>
      </x:c>
      <x:c r="F54" s="32" t="str">
        <x:v>https://www.sec.gov/Archives/edgar/data/815556/000081555626000015/a2025annualreportandwithex.pdf</x:v>
      </x:c>
      <x:c r="G54" s="32" t="str">
        <x:v>https://www.sec.gov/Archives/edgar/data/815556/000081555626000015/a2025annualreportandwithex.pdf</x:v>
      </x:c>
      <x:c r="H54" s="32" t="str">
        <x:v>https://www.sec.gov/Archives/edgar/data/815556/000081555626000015/a2025annualreportandwithex.pdf</x:v>
      </x:c>
      <x:c r="I54" s="32" t="str">
        <x:v>https://www.sec.gov/Archives/edgar/data/815556/000081555626000015/a2025annualreportandwithex.pdf</x:v>
      </x:c>
      <x:c r="J54" s="32" t="str">
        <x:v>https://www.sec.gov/Archives/edgar/data/815556/000081555626000015/a2025annualreportandwithex.pdf</x:v>
      </x:c>
      <x:c r="K54" s="32" t="str">
        <x:v>https://www.sec.gov/Archives/edgar/data/815556/000081555626000015/a2025annualreportandwithex.pdf</x:v>
      </x:c>
      <x:c r="L54" s="2"/>
      <x:c r="M54" s="2"/>
      <x:c r="N54" s="2"/>
      <x:c r="O54" s="2"/>
    </x:row>
    <x:row r="55" ht="22" customHeight="1">
      <x:c r="A55" s="2"/>
      <x:c r="B55" s="2"/>
      <x:c r="C55" s="2"/>
      <x:c r="D55" s="2"/>
      <x:c r="E55" s="4"/>
      <x:c r="F55" s="4"/>
      <x:c r="G55" s="4"/>
      <x:c r="H55" s="4"/>
      <x:c r="I55" s="4"/>
      <x:c r="J55" s="4"/>
      <x:c r="K55" s="4"/>
      <x:c r="L55" s="2"/>
      <x:c r="M55" s="2"/>
      <x:c r="N55" s="2"/>
      <x:c r="O55" s="2"/>
    </x:row>
    <x:row r="56" ht="24" customHeight="1">
      <x:c r="A56" s="2"/>
      <x:c r="B56" s="2"/>
      <x:c r="C56" s="24" t="str">
        <x:v>S2 · Fastenal Q2 2026 Form 10-Q. Statements pp1–5, working capital p20, outlook pp21 and 26.</x:v>
      </x:c>
      <x:c r="D56" s="24" t="str">
        <x:v>S2 · Fastenal Q2 2026 Form 10-Q. Statements pp1–5, working capital p20, outlook pp21 and 26.</x:v>
      </x:c>
      <x:c r="E56" s="25" t="str">
        <x:v>S2 · Fastenal Q2 2026 Form 10-Q. Statements pp1–5, working capital p20, outlook pp21 and 26.</x:v>
      </x:c>
      <x:c r="F56" s="25" t="str">
        <x:v>S2 · Fastenal Q2 2026 Form 10-Q. Statements pp1–5, working capital p20, outlook pp21 and 26.</x:v>
      </x:c>
      <x:c r="G56" s="25" t="str">
        <x:v>S2 · Fastenal Q2 2026 Form 10-Q. Statements pp1–5, working capital p20, outlook pp21 and 26.</x:v>
      </x:c>
      <x:c r="H56" s="25" t="str">
        <x:v>S2 · Fastenal Q2 2026 Form 10-Q. Statements pp1–5, working capital p20, outlook pp21 and 26.</x:v>
      </x:c>
      <x:c r="I56" s="25" t="str">
        <x:v>S2 · Fastenal Q2 2026 Form 10-Q. Statements pp1–5, working capital p20, outlook pp21 and 26.</x:v>
      </x:c>
      <x:c r="J56" s="25" t="str">
        <x:v>S2 · Fastenal Q2 2026 Form 10-Q. Statements pp1–5, working capital p20, outlook pp21 and 26.</x:v>
      </x:c>
      <x:c r="K56" s="25" t="str">
        <x:v>S2 · Fastenal Q2 2026 Form 10-Q. Statements pp1–5, working capital p20, outlook pp21 and 26.</x:v>
      </x:c>
      <x:c r="L56" s="2"/>
      <x:c r="M56" s="2"/>
      <x:c r="N56" s="2"/>
      <x:c r="O56" s="2"/>
    </x:row>
    <x:row r="57" ht="24" customHeight="1">
      <x:c r="A57" s="2"/>
      <x:c r="B57" s="2"/>
      <x:c r="C57" s="31" t="str">
        <x:v>https://www.sec.gov/Archives/edgar/data/815556/000081555626000041/fast-20260630.htm</x:v>
      </x:c>
      <x:c r="D57" s="31" t="str">
        <x:v>https://www.sec.gov/Archives/edgar/data/815556/000081555626000041/fast-20260630.htm</x:v>
      </x:c>
      <x:c r="E57" s="32" t="str">
        <x:v>https://www.sec.gov/Archives/edgar/data/815556/000081555626000041/fast-20260630.htm</x:v>
      </x:c>
      <x:c r="F57" s="32" t="str">
        <x:v>https://www.sec.gov/Archives/edgar/data/815556/000081555626000041/fast-20260630.htm</x:v>
      </x:c>
      <x:c r="G57" s="32" t="str">
        <x:v>https://www.sec.gov/Archives/edgar/data/815556/000081555626000041/fast-20260630.htm</x:v>
      </x:c>
      <x:c r="H57" s="32" t="str">
        <x:v>https://www.sec.gov/Archives/edgar/data/815556/000081555626000041/fast-20260630.htm</x:v>
      </x:c>
      <x:c r="I57" s="32" t="str">
        <x:v>https://www.sec.gov/Archives/edgar/data/815556/000081555626000041/fast-20260630.htm</x:v>
      </x:c>
      <x:c r="J57" s="32" t="str">
        <x:v>https://www.sec.gov/Archives/edgar/data/815556/000081555626000041/fast-20260630.htm</x:v>
      </x:c>
      <x:c r="K57" s="32" t="str">
        <x:v>https://www.sec.gov/Archives/edgar/data/815556/000081555626000041/fast-20260630.htm</x:v>
      </x:c>
      <x:c r="L57" s="2"/>
      <x:c r="M57" s="2"/>
      <x:c r="N57" s="2"/>
      <x:c r="O57" s="2"/>
    </x:row>
    <x:row r="58" ht="22" customHeight="1">
      <x:c r="A58" s="2"/>
      <x:c r="B58" s="2"/>
      <x:c r="C58" s="2"/>
      <x:c r="D58" s="2"/>
      <x:c r="E58" s="4"/>
      <x:c r="F58" s="4"/>
      <x:c r="G58" s="4"/>
      <x:c r="H58" s="4"/>
      <x:c r="I58" s="4"/>
      <x:c r="J58" s="4"/>
      <x:c r="K58" s="4"/>
      <x:c r="L58" s="2"/>
      <x:c r="M58" s="2"/>
      <x:c r="N58" s="2"/>
      <x:c r="O58" s="2"/>
    </x:row>
    <x:row r="59" ht="24" customHeight="1">
      <x:c r="A59" s="2"/>
      <x:c r="B59" s="2"/>
      <x:c r="C59" s="37" t="str">
        <x:v>2026 management context: ongoing tax rate approximately 24.6%; net capex outlook $310–330m. Other forecast inputs are illustrative analyst assumptions, not company guidance.</x:v>
      </x:c>
      <x:c r="D59" s="37" t="str">
        <x:v>2026 management context: ongoing tax rate approximately 24.6%; net capex outlook $310–330m. Other forecast inputs are illustrative analyst assumptions, not company guidance.</x:v>
      </x:c>
      <x:c r="E59" s="38" t="str">
        <x:v>2026 management context: ongoing tax rate approximately 24.6%; net capex outlook $310–330m. Other forecast inputs are illustrative analyst assumptions, not company guidance.</x:v>
      </x:c>
      <x:c r="F59" s="38" t="str">
        <x:v>2026 management context: ongoing tax rate approximately 24.6%; net capex outlook $310–330m. Other forecast inputs are illustrative analyst assumptions, not company guidance.</x:v>
      </x:c>
      <x:c r="G59" s="38" t="str">
        <x:v>2026 management context: ongoing tax rate approximately 24.6%; net capex outlook $310–330m. Other forecast inputs are illustrative analyst assumptions, not company guidance.</x:v>
      </x:c>
      <x:c r="H59" s="38" t="str">
        <x:v>2026 management context: ongoing tax rate approximately 24.6%; net capex outlook $310–330m. Other forecast inputs are illustrative analyst assumptions, not company guidance.</x:v>
      </x:c>
      <x:c r="I59" s="38" t="str">
        <x:v>2026 management context: ongoing tax rate approximately 24.6%; net capex outlook $310–330m. Other forecast inputs are illustrative analyst assumptions, not company guidance.</x:v>
      </x:c>
      <x:c r="J59" s="38" t="str">
        <x:v>2026 management context: ongoing tax rate approximately 24.6%; net capex outlook $310–330m. Other forecast inputs are illustrative analyst assumptions, not company guidance.</x:v>
      </x:c>
      <x:c r="K59" s="38" t="str">
        <x:v>2026 management context: ongoing tax rate approximately 24.6%; net capex outlook $310–330m. Other forecast inputs are illustrative analyst assumptions, not company guidance.</x:v>
      </x:c>
      <x:c r="L59" s="2"/>
      <x:c r="M59" s="2"/>
      <x:c r="N59" s="2"/>
      <x:c r="O59" s="2"/>
    </x:row>
    <x:row r="60" ht="24" customHeight="1">
      <x:c r="A60" s="2"/>
      <x:c r="B60" s="2"/>
      <x:c r="C60" s="37" t="str">
        <x:v>2026 management context: ongoing tax rate approximately 24.6%; net capex outlook $310–330m. Other forecast inputs are illustrative analyst assumptions, not company guidance.</x:v>
      </x:c>
      <x:c r="D60" s="37" t="str">
        <x:v>2026 management context: ongoing tax rate approximately 24.6%; net capex outlook $310–330m. Other forecast inputs are illustrative analyst assumptions, not company guidance.</x:v>
      </x:c>
      <x:c r="E60" s="38" t="str">
        <x:v>2026 management context: ongoing tax rate approximately 24.6%; net capex outlook $310–330m. Other forecast inputs are illustrative analyst assumptions, not company guidance.</x:v>
      </x:c>
      <x:c r="F60" s="38" t="str">
        <x:v>2026 management context: ongoing tax rate approximately 24.6%; net capex outlook $310–330m. Other forecast inputs are illustrative analyst assumptions, not company guidance.</x:v>
      </x:c>
      <x:c r="G60" s="38" t="str">
        <x:v>2026 management context: ongoing tax rate approximately 24.6%; net capex outlook $310–330m. Other forecast inputs are illustrative analyst assumptions, not company guidance.</x:v>
      </x:c>
      <x:c r="H60" s="38" t="str">
        <x:v>2026 management context: ongoing tax rate approximately 24.6%; net capex outlook $310–330m. Other forecast inputs are illustrative analyst assumptions, not company guidance.</x:v>
      </x:c>
      <x:c r="I60" s="38" t="str">
        <x:v>2026 management context: ongoing tax rate approximately 24.6%; net capex outlook $310–330m. Other forecast inputs are illustrative analyst assumptions, not company guidance.</x:v>
      </x:c>
      <x:c r="J60" s="38" t="str">
        <x:v>2026 management context: ongoing tax rate approximately 24.6%; net capex outlook $310–330m. Other forecast inputs are illustrative analyst assumptions, not company guidance.</x:v>
      </x:c>
      <x:c r="K60" s="38" t="str">
        <x:v>2026 management context: ongoing tax rate approximately 24.6%; net capex outlook $310–330m. Other forecast inputs are illustrative analyst assumptions, not company guidance.</x:v>
      </x:c>
      <x:c r="L60" s="2"/>
      <x:c r="M60" s="2"/>
      <x:c r="N60" s="2"/>
      <x:c r="O60" s="2"/>
    </x:row>
    <x:row r="61" ht="22" customHeight="1">
      <x:c r="A61" s="2"/>
      <x:c r="B61" s="2"/>
      <x:c r="C61" s="2"/>
      <x:c r="D61" s="2"/>
      <x:c r="E61" s="4"/>
      <x:c r="F61" s="4"/>
      <x:c r="G61" s="4"/>
      <x:c r="H61" s="4"/>
      <x:c r="I61" s="4"/>
      <x:c r="J61" s="4"/>
      <x:c r="K61" s="4"/>
      <x:c r="L61" s="2"/>
      <x:c r="M61" s="2"/>
      <x:c r="N61" s="2"/>
      <x:c r="O61" s="2"/>
    </x:row>
    <x:row r="62" ht="24" customHeight="1">
      <x:c r="A62" s="2"/>
      <x:c r="B62" s="2"/>
      <x:c r="C62" s="37" t="str">
        <x:v>Model FCF = operating cash flow less gross capex plus disposal proceeds. This is levered FCF before dividends, buybacks and debt flows. It is not a valuation or a full three-statement forecast.</x:v>
      </x:c>
      <x:c r="D62" s="37" t="str">
        <x:v>Model FCF = operating cash flow less gross capex plus disposal proceeds. This is levered FCF before dividends, buybacks and debt flows. It is not a valuation or a full three-statement forecast.</x:v>
      </x:c>
      <x:c r="E62" s="38" t="str">
        <x:v>Model FCF = operating cash flow less gross capex plus disposal proceeds. This is levered FCF before dividends, buybacks and debt flows. It is not a valuation or a full three-statement forecast.</x:v>
      </x:c>
      <x:c r="F62" s="38" t="str">
        <x:v>Model FCF = operating cash flow less gross capex plus disposal proceeds. This is levered FCF before dividends, buybacks and debt flows. It is not a valuation or a full three-statement forecast.</x:v>
      </x:c>
      <x:c r="G62" s="38" t="str">
        <x:v>Model FCF = operating cash flow less gross capex plus disposal proceeds. This is levered FCF before dividends, buybacks and debt flows. It is not a valuation or a full three-statement forecast.</x:v>
      </x:c>
      <x:c r="H62" s="38" t="str">
        <x:v>Model FCF = operating cash flow less gross capex plus disposal proceeds. This is levered FCF before dividends, buybacks and debt flows. It is not a valuation or a full three-statement forecast.</x:v>
      </x:c>
      <x:c r="I62" s="38" t="str">
        <x:v>Model FCF = operating cash flow less gross capex plus disposal proceeds. This is levered FCF before dividends, buybacks and debt flows. It is not a valuation or a full three-statement forecast.</x:v>
      </x:c>
      <x:c r="J62" s="38" t="str">
        <x:v>Model FCF = operating cash flow less gross capex plus disposal proceeds. This is levered FCF before dividends, buybacks and debt flows. It is not a valuation or a full three-statement forecast.</x:v>
      </x:c>
      <x:c r="K62" s="38" t="str">
        <x:v>Model FCF = operating cash flow less gross capex plus disposal proceeds. This is levered FCF before dividends, buybacks and debt flows. It is not a valuation or a full three-statement forecast.</x:v>
      </x:c>
      <x:c r="L62" s="2"/>
      <x:c r="M62" s="2"/>
      <x:c r="N62" s="2"/>
      <x:c r="O62" s="2"/>
    </x:row>
    <x:row r="63" ht="24" customHeight="1">
      <x:c r="A63" s="2"/>
      <x:c r="B63" s="2"/>
      <x:c r="C63" s="37" t="str">
        <x:v>Model FCF = operating cash flow less gross capex plus disposal proceeds. This is levered FCF before dividends, buybacks and debt flows. It is not a valuation or a full three-statement forecast.</x:v>
      </x:c>
      <x:c r="D63" s="37" t="str">
        <x:v>Model FCF = operating cash flow less gross capex plus disposal proceeds. This is levered FCF before dividends, buybacks and debt flows. It is not a valuation or a full three-statement forecast.</x:v>
      </x:c>
      <x:c r="E63" s="38" t="str">
        <x:v>Model FCF = operating cash flow less gross capex plus disposal proceeds. This is levered FCF before dividends, buybacks and debt flows. It is not a valuation or a full three-statement forecast.</x:v>
      </x:c>
      <x:c r="F63" s="38" t="str">
        <x:v>Model FCF = operating cash flow less gross capex plus disposal proceeds. This is levered FCF before dividends, buybacks and debt flows. It is not a valuation or a full three-statement forecast.</x:v>
      </x:c>
      <x:c r="G63" s="38" t="str">
        <x:v>Model FCF = operating cash flow less gross capex plus disposal proceeds. This is levered FCF before dividends, buybacks and debt flows. It is not a valuation or a full three-statement forecast.</x:v>
      </x:c>
      <x:c r="H63" s="38" t="str">
        <x:v>Model FCF = operating cash flow less gross capex plus disposal proceeds. This is levered FCF before dividends, buybacks and debt flows. It is not a valuation or a full three-statement forecast.</x:v>
      </x:c>
      <x:c r="I63" s="38" t="str">
        <x:v>Model FCF = operating cash flow less gross capex plus disposal proceeds. This is levered FCF before dividends, buybacks and debt flows. It is not a valuation or a full three-statement forecast.</x:v>
      </x:c>
      <x:c r="J63" s="38" t="str">
        <x:v>Model FCF = operating cash flow less gross capex plus disposal proceeds. This is levered FCF before dividends, buybacks and debt flows. It is not a valuation or a full three-statement forecast.</x:v>
      </x:c>
      <x:c r="K63" s="38" t="str">
        <x:v>Model FCF = operating cash flow less gross capex plus disposal proceeds. This is levered FCF before dividends, buybacks and debt flows. It is not a valuation or a full three-statement forecast.</x:v>
      </x:c>
      <x:c r="L63" s="2"/>
      <x:c r="M63" s="2"/>
      <x:c r="N63" s="2"/>
      <x:c r="O63" s="2"/>
    </x:row>
    <x:row r="64" ht="22" customHeight="1">
      <x:c r="A64" s="2"/>
      <x:c r="B64" s="2"/>
      <x:c r="C64" s="2"/>
      <x:c r="D64" s="2"/>
      <x:c r="E64" s="4"/>
      <x:c r="F64" s="4"/>
      <x:c r="G64" s="4"/>
      <x:c r="H64" s="4"/>
      <x:c r="I64" s="4"/>
      <x:c r="J64" s="4"/>
      <x:c r="K64" s="4"/>
      <x:c r="L64" s="2"/>
      <x:c r="M64" s="2"/>
      <x:c r="N64" s="2"/>
      <x:c r="O64" s="2"/>
    </x:row>
    <x:row r="65" ht="24" customHeight="1">
      <x:c r="A65" s="2"/>
      <x:c r="B65" s="2"/>
      <x:c r="C65" s="37" t="str">
        <x:v>FY2025 net capex from rounded cash-flow rows is $230.5m; management reports $230.6m using unrounded data. This model uses $230.5m consistently, giving historical FCF of $1,065.4m.</x:v>
      </x:c>
      <x:c r="D65" s="37" t="str">
        <x:v>FY2025 net capex from rounded cash-flow rows is $230.5m; management reports $230.6m using unrounded data. This model uses $230.5m consistently, giving historical FCF of $1,065.4m.</x:v>
      </x:c>
      <x:c r="E65" s="38" t="str">
        <x:v>FY2025 net capex from rounded cash-flow rows is $230.5m; management reports $230.6m using unrounded data. This model uses $230.5m consistently, giving historical FCF of $1,065.4m.</x:v>
      </x:c>
      <x:c r="F65" s="38" t="str">
        <x:v>FY2025 net capex from rounded cash-flow rows is $230.5m; management reports $230.6m using unrounded data. This model uses $230.5m consistently, giving historical FCF of $1,065.4m.</x:v>
      </x:c>
      <x:c r="G65" s="38" t="str">
        <x:v>FY2025 net capex from rounded cash-flow rows is $230.5m; management reports $230.6m using unrounded data. This model uses $230.5m consistently, giving historical FCF of $1,065.4m.</x:v>
      </x:c>
      <x:c r="H65" s="38" t="str">
        <x:v>FY2025 net capex from rounded cash-flow rows is $230.5m; management reports $230.6m using unrounded data. This model uses $230.5m consistently, giving historical FCF of $1,065.4m.</x:v>
      </x:c>
      <x:c r="I65" s="38" t="str">
        <x:v>FY2025 net capex from rounded cash-flow rows is $230.5m; management reports $230.6m using unrounded data. This model uses $230.5m consistently, giving historical FCF of $1,065.4m.</x:v>
      </x:c>
      <x:c r="J65" s="38" t="str">
        <x:v>FY2025 net capex from rounded cash-flow rows is $230.5m; management reports $230.6m using unrounded data. This model uses $230.5m consistently, giving historical FCF of $1,065.4m.</x:v>
      </x:c>
      <x:c r="K65" s="38" t="str">
        <x:v>FY2025 net capex from rounded cash-flow rows is $230.5m; management reports $230.6m using unrounded data. This model uses $230.5m consistently, giving historical FCF of $1,065.4m.</x:v>
      </x:c>
      <x:c r="L65" s="2"/>
      <x:c r="M65" s="2"/>
      <x:c r="N65" s="2"/>
      <x:c r="O65" s="2"/>
    </x:row>
    <x:row r="66" ht="24" customHeight="1">
      <x:c r="A66" s="2"/>
      <x:c r="B66" s="2"/>
      <x:c r="C66" s="37" t="str">
        <x:v>FY2025 net capex from rounded cash-flow rows is $230.5m; management reports $230.6m using unrounded data. This model uses $230.5m consistently, giving historical FCF of $1,065.4m.</x:v>
      </x:c>
      <x:c r="D66" s="37" t="str">
        <x:v>FY2025 net capex from rounded cash-flow rows is $230.5m; management reports $230.6m using unrounded data. This model uses $230.5m consistently, giving historical FCF of $1,065.4m.</x:v>
      </x:c>
      <x:c r="E66" s="38" t="str">
        <x:v>FY2025 net capex from rounded cash-flow rows is $230.5m; management reports $230.6m using unrounded data. This model uses $230.5m consistently, giving historical FCF of $1,065.4m.</x:v>
      </x:c>
      <x:c r="F66" s="38" t="str">
        <x:v>FY2025 net capex from rounded cash-flow rows is $230.5m; management reports $230.6m using unrounded data. This model uses $230.5m consistently, giving historical FCF of $1,065.4m.</x:v>
      </x:c>
      <x:c r="G66" s="38" t="str">
        <x:v>FY2025 net capex from rounded cash-flow rows is $230.5m; management reports $230.6m using unrounded data. This model uses $230.5m consistently, giving historical FCF of $1,065.4m.</x:v>
      </x:c>
      <x:c r="H66" s="38" t="str">
        <x:v>FY2025 net capex from rounded cash-flow rows is $230.5m; management reports $230.6m using unrounded data. This model uses $230.5m consistently, giving historical FCF of $1,065.4m.</x:v>
      </x:c>
      <x:c r="I66" s="38" t="str">
        <x:v>FY2025 net capex from rounded cash-flow rows is $230.5m; management reports $230.6m using unrounded data. This model uses $230.5m consistently, giving historical FCF of $1,065.4m.</x:v>
      </x:c>
      <x:c r="J66" s="38" t="str">
        <x:v>FY2025 net capex from rounded cash-flow rows is $230.5m; management reports $230.6m using unrounded data. This model uses $230.5m consistently, giving historical FCF of $1,065.4m.</x:v>
      </x:c>
      <x:c r="K66" s="38" t="str">
        <x:v>FY2025 net capex from rounded cash-flow rows is $230.5m; management reports $230.6m using unrounded data. This model uses $230.5m consistently, giving historical FCF of $1,065.4m.</x:v>
      </x:c>
      <x:c r="L66" s="2"/>
      <x:c r="M66" s="2"/>
      <x:c r="N66" s="2"/>
      <x:c r="O66" s="2"/>
    </x:row>
    <x:row r="67" ht="22" customHeight="1">
      <x:c r="A67" s="2"/>
      <x:c r="B67" s="2"/>
      <x:c r="C67" s="2"/>
      <x:c r="D67" s="2"/>
      <x:c r="E67" s="4"/>
      <x:c r="F67" s="4"/>
      <x:c r="G67" s="4"/>
      <x:c r="H67" s="4"/>
      <x:c r="I67" s="4"/>
      <x:c r="J67" s="4"/>
      <x:c r="K67" s="4"/>
      <x:c r="L67" s="2"/>
      <x:c r="M67" s="2"/>
      <x:c r="N67" s="2"/>
      <x:c r="O67" s="2"/>
    </x:row>
    <x:row r="68" ht="24" customHeight="1">
      <x:c r="A68" s="2"/>
      <x:c r="B68" s="2"/>
      <x:c r="C68" s="37" t="str">
        <x:v>Forecast working capital uses year-end balances. Historical cash movements use the cash-flow statement and therefore retain FX and other reconciling differences. Blank H1 2025 balances are not needed by the model.</x:v>
      </x:c>
      <x:c r="D68" s="37" t="str">
        <x:v>Forecast working capital uses year-end balances. Historical cash movements use the cash-flow statement and therefore retain FX and other reconciling differences. Blank H1 2025 balances are not needed by the model.</x:v>
      </x:c>
      <x:c r="E68" s="38" t="str">
        <x:v>Forecast working capital uses year-end balances. Historical cash movements use the cash-flow statement and therefore retain FX and other reconciling differences. Blank H1 2025 balances are not needed by the model.</x:v>
      </x:c>
      <x:c r="F68" s="38" t="str">
        <x:v>Forecast working capital uses year-end balances. Historical cash movements use the cash-flow statement and therefore retain FX and other reconciling differences. Blank H1 2025 balances are not needed by the model.</x:v>
      </x:c>
      <x:c r="G68" s="38" t="str">
        <x:v>Forecast working capital uses year-end balances. Historical cash movements use the cash-flow statement and therefore retain FX and other reconciling differences. Blank H1 2025 balances are not needed by the model.</x:v>
      </x:c>
      <x:c r="H68" s="38" t="str">
        <x:v>Forecast working capital uses year-end balances. Historical cash movements use the cash-flow statement and therefore retain FX and other reconciling differences. Blank H1 2025 balances are not needed by the model.</x:v>
      </x:c>
      <x:c r="I68" s="38" t="str">
        <x:v>Forecast working capital uses year-end balances. Historical cash movements use the cash-flow statement and therefore retain FX and other reconciling differences. Blank H1 2025 balances are not needed by the model.</x:v>
      </x:c>
      <x:c r="J68" s="38" t="str">
        <x:v>Forecast working capital uses year-end balances. Historical cash movements use the cash-flow statement and therefore retain FX and other reconciling differences. Blank H1 2025 balances are not needed by the model.</x:v>
      </x:c>
      <x:c r="K68" s="38" t="str">
        <x:v>Forecast working capital uses year-end balances. Historical cash movements use the cash-flow statement and therefore retain FX and other reconciling differences. Blank H1 2025 balances are not needed by the model.</x:v>
      </x:c>
      <x:c r="L68" s="2"/>
      <x:c r="M68" s="2"/>
      <x:c r="N68" s="2"/>
      <x:c r="O68" s="2"/>
    </x:row>
    <x:row r="69" ht="24" customHeight="1">
      <x:c r="A69" s="2"/>
      <x:c r="B69" s="2"/>
      <x:c r="C69" s="37" t="str">
        <x:v>Forecast working capital uses year-end balances. Historical cash movements use the cash-flow statement and therefore retain FX and other reconciling differences. Blank H1 2025 balances are not needed by the model.</x:v>
      </x:c>
      <x:c r="D69" s="37" t="str">
        <x:v>Forecast working capital uses year-end balances. Historical cash movements use the cash-flow statement and therefore retain FX and other reconciling differences. Blank H1 2025 balances are not needed by the model.</x:v>
      </x:c>
      <x:c r="E69" s="38" t="str">
        <x:v>Forecast working capital uses year-end balances. Historical cash movements use the cash-flow statement and therefore retain FX and other reconciling differences. Blank H1 2025 balances are not needed by the model.</x:v>
      </x:c>
      <x:c r="F69" s="38" t="str">
        <x:v>Forecast working capital uses year-end balances. Historical cash movements use the cash-flow statement and therefore retain FX and other reconciling differences. Blank H1 2025 balances are not needed by the model.</x:v>
      </x:c>
      <x:c r="G69" s="38" t="str">
        <x:v>Forecast working capital uses year-end balances. Historical cash movements use the cash-flow statement and therefore retain FX and other reconciling differences. Blank H1 2025 balances are not needed by the model.</x:v>
      </x:c>
      <x:c r="H69" s="38" t="str">
        <x:v>Forecast working capital uses year-end balances. Historical cash movements use the cash-flow statement and therefore retain FX and other reconciling differences. Blank H1 2025 balances are not needed by the model.</x:v>
      </x:c>
      <x:c r="I69" s="38" t="str">
        <x:v>Forecast working capital uses year-end balances. Historical cash movements use the cash-flow statement and therefore retain FX and other reconciling differences. Blank H1 2025 balances are not needed by the model.</x:v>
      </x:c>
      <x:c r="J69" s="38" t="str">
        <x:v>Forecast working capital uses year-end balances. Historical cash movements use the cash-flow statement and therefore retain FX and other reconciling differences. Blank H1 2025 balances are not needed by the model.</x:v>
      </x:c>
      <x:c r="K69" s="38" t="str">
        <x:v>Forecast working capital uses year-end balances. Historical cash movements use the cash-flow statement and therefore retain FX and other reconciling differences. Blank H1 2025 balances are not needed by the model.</x:v>
      </x:c>
      <x:c r="L69" s="2"/>
      <x:c r="M69" s="2"/>
      <x:c r="N69" s="2"/>
      <x:c r="O69" s="2"/>
    </x:row>
    <x:row r="70" ht="22" customHeight="1">
      <x:c r="A70" s="2"/>
      <x:c r="B70" s="2"/>
      <x:c r="C70" s="2"/>
      <x:c r="D70" s="2"/>
      <x:c r="E70" s="4"/>
      <x:c r="F70" s="4"/>
      <x:c r="G70" s="4"/>
      <x:c r="H70" s="4"/>
      <x:c r="I70" s="4"/>
      <x:c r="J70" s="4"/>
      <x:c r="K70" s="4"/>
      <x:c r="L70" s="2"/>
      <x:c r="M70" s="2"/>
      <x:c r="N70" s="2"/>
      <x:c r="O70" s="2"/>
    </x:row>
    <x:row r="71" ht="22" customHeight="1">
      <x:c r="A71" s="2"/>
      <x:c r="B71" s="2"/>
      <x:c r="C71" s="2"/>
      <x:c r="D71" s="2"/>
      <x:c r="E71" s="4"/>
      <x:c r="F71" s="4"/>
      <x:c r="G71" s="4"/>
      <x:c r="H71" s="4"/>
      <x:c r="I71" s="4"/>
      <x:c r="J71" s="4"/>
      <x:c r="K71" s="4"/>
      <x:c r="L71" s="2"/>
      <x:c r="M71" s="2"/>
      <x:c r="N71" s="2"/>
      <x:c r="O71" s="2"/>
    </x:row>
    <x:row r="72" ht="22" customHeight="1">
      <x:c r="A72" s="2"/>
      <x:c r="B72" s="2"/>
      <x:c r="C72" s="2"/>
      <x:c r="D72" s="2"/>
      <x:c r="E72" s="4"/>
      <x:c r="F72" s="4"/>
      <x:c r="G72" s="4"/>
      <x:c r="H72" s="4"/>
      <x:c r="I72" s="4"/>
      <x:c r="J72" s="4"/>
      <x:c r="K72" s="4"/>
      <x:c r="L72" s="2"/>
      <x:c r="M72" s="2"/>
      <x:c r="N72" s="2"/>
      <x:c r="O72" s="2"/>
    </x:row>
    <x:row r="73" ht="22" customHeight="1">
      <x:c r="A73" s="2"/>
      <x:c r="B73" s="2"/>
      <x:c r="C73" s="2"/>
      <x:c r="D73" s="2"/>
      <x:c r="E73" s="4"/>
      <x:c r="F73" s="4"/>
      <x:c r="G73" s="4"/>
      <x:c r="H73" s="4"/>
      <x:c r="I73" s="4"/>
      <x:c r="J73" s="4"/>
      <x:c r="K73" s="4"/>
      <x:c r="L73" s="2"/>
      <x:c r="M73" s="2"/>
      <x:c r="N73" s="2"/>
      <x:c r="O73" s="2"/>
    </x:row>
    <x:row r="74" ht="22" customHeight="1">
      <x:c r="A74" s="2"/>
      <x:c r="B74" s="2"/>
      <x:c r="C74" s="2"/>
      <x:c r="D74" s="2"/>
      <x:c r="E74" s="4"/>
      <x:c r="F74" s="4"/>
      <x:c r="G74" s="4"/>
      <x:c r="H74" s="4"/>
      <x:c r="I74" s="4"/>
      <x:c r="J74" s="4"/>
      <x:c r="K74" s="4"/>
      <x:c r="L74" s="2"/>
      <x:c r="M74" s="2"/>
      <x:c r="N74" s="2"/>
      <x:c r="O74" s="2"/>
    </x:row>
    <x:row r="75" ht="22" customHeight="1">
      <x:c r="A75" s="2"/>
      <x:c r="B75" s="2"/>
      <x:c r="C75" s="2"/>
      <x:c r="D75" s="2"/>
      <x:c r="E75" s="4"/>
      <x:c r="F75" s="4"/>
      <x:c r="G75" s="4"/>
      <x:c r="H75" s="4"/>
      <x:c r="I75" s="4"/>
      <x:c r="J75" s="4"/>
      <x:c r="K75" s="4"/>
      <x:c r="L75" s="2"/>
      <x:c r="M75" s="2"/>
      <x:c r="N75" s="2"/>
      <x:c r="O75" s="2"/>
    </x:row>
    <x:row r="76" ht="22" customHeight="1">
      <x:c r="A76" s="2"/>
      <x:c r="B76" s="2"/>
      <x:c r="C76" s="2"/>
      <x:c r="D76" s="2"/>
      <x:c r="E76" s="4"/>
      <x:c r="F76" s="4"/>
      <x:c r="G76" s="4"/>
      <x:c r="H76" s="4"/>
      <x:c r="I76" s="4"/>
      <x:c r="J76" s="4"/>
      <x:c r="K76" s="4"/>
      <x:c r="L76" s="2"/>
      <x:c r="M76" s="2"/>
      <x:c r="N76" s="2"/>
      <x:c r="O76" s="2"/>
    </x:row>
    <x:row r="77" ht="22" customHeight="1">
      <x:c r="A77" s="2"/>
      <x:c r="B77" s="2"/>
      <x:c r="C77" s="2"/>
      <x:c r="D77" s="2"/>
      <x:c r="E77" s="4"/>
      <x:c r="F77" s="4"/>
      <x:c r="G77" s="4"/>
      <x:c r="H77" s="4"/>
      <x:c r="I77" s="4"/>
      <x:c r="J77" s="4"/>
      <x:c r="K77" s="4"/>
      <x:c r="L77" s="2"/>
      <x:c r="M77" s="2"/>
      <x:c r="N77" s="2"/>
      <x:c r="O77" s="2"/>
    </x:row>
    <x:row r="78" ht="22" customHeight="1">
      <x:c r="A78" s="2"/>
      <x:c r="B78" s="2"/>
      <x:c r="C78" s="2"/>
      <x:c r="D78" s="2"/>
      <x:c r="E78" s="4"/>
      <x:c r="F78" s="4"/>
      <x:c r="G78" s="4"/>
      <x:c r="H78" s="4"/>
      <x:c r="I78" s="4"/>
      <x:c r="J78" s="4"/>
      <x:c r="K78" s="4"/>
      <x:c r="L78" s="2"/>
      <x:c r="M78" s="2"/>
      <x:c r="N78" s="2"/>
      <x:c r="O78" s="2"/>
    </x:row>
    <x:row r="79" ht="22" customHeight="1">
      <x:c r="A79" s="2"/>
      <x:c r="B79" s="2"/>
      <x:c r="C79" s="2"/>
      <x:c r="D79" s="2"/>
      <x:c r="E79" s="4"/>
      <x:c r="F79" s="4"/>
      <x:c r="G79" s="4"/>
      <x:c r="H79" s="4"/>
      <x:c r="I79" s="4"/>
      <x:c r="J79" s="4"/>
      <x:c r="K79" s="4"/>
      <x:c r="L79" s="2"/>
      <x:c r="M79" s="2"/>
      <x:c r="N79" s="2"/>
      <x:c r="O79" s="2"/>
    </x:row>
    <x:row r="80" ht="22" customHeight="1">
      <x:c r="A80" s="2"/>
      <x:c r="B80" s="2"/>
      <x:c r="C80" s="2"/>
      <x:c r="D80" s="2"/>
      <x:c r="E80" s="4"/>
      <x:c r="F80" s="4"/>
      <x:c r="G80" s="4"/>
      <x:c r="H80" s="4"/>
      <x:c r="I80" s="4"/>
      <x:c r="J80" s="4"/>
      <x:c r="K80" s="4"/>
      <x:c r="L80" s="2"/>
      <x:c r="M80" s="2"/>
      <x:c r="N80" s="2"/>
      <x:c r="O80" s="2"/>
    </x:row>
    <x:row r="81" ht="22" customHeight="1">
      <x:c r="A81" s="2"/>
      <x:c r="B81" s="2"/>
      <x:c r="C81" s="2"/>
      <x:c r="D81" s="2"/>
      <x:c r="E81" s="4"/>
      <x:c r="F81" s="4"/>
      <x:c r="G81" s="4"/>
      <x:c r="H81" s="4"/>
      <x:c r="I81" s="4"/>
      <x:c r="J81" s="4"/>
      <x:c r="K81" s="4"/>
      <x:c r="L81" s="2"/>
      <x:c r="M81" s="2"/>
      <x:c r="N81" s="2"/>
      <x:c r="O81" s="2"/>
    </x:row>
    <x:row r="82" ht="22" customHeight="1">
      <x:c r="A82" s="2"/>
      <x:c r="B82" s="2"/>
      <x:c r="C82" s="2"/>
      <x:c r="D82" s="2"/>
      <x:c r="E82" s="4"/>
      <x:c r="F82" s="4"/>
      <x:c r="G82" s="4"/>
      <x:c r="H82" s="4"/>
      <x:c r="I82" s="4"/>
      <x:c r="J82" s="4"/>
      <x:c r="K82" s="4"/>
      <x:c r="L82" s="2"/>
      <x:c r="M82" s="2"/>
      <x:c r="N82" s="2"/>
      <x:c r="O82" s="2"/>
    </x:row>
    <x:row r="83" ht="22" customHeight="1">
      <x:c r="A83" s="2"/>
      <x:c r="B83" s="2"/>
      <x:c r="C83" s="2"/>
      <x:c r="D83" s="2"/>
      <x:c r="E83" s="4"/>
      <x:c r="F83" s="4"/>
      <x:c r="G83" s="4"/>
      <x:c r="H83" s="4"/>
      <x:c r="I83" s="4"/>
      <x:c r="J83" s="4"/>
      <x:c r="K83" s="4"/>
      <x:c r="L83" s="2"/>
      <x:c r="M83" s="2"/>
      <x:c r="N83" s="2"/>
      <x:c r="O83" s="2"/>
    </x:row>
  </x:sheetData>
  <x:mergeCells>
    <x:mergeCell ref="C2:K2"/>
    <x:mergeCell ref="C4:K4"/>
    <x:mergeCell ref="C21:K21"/>
    <x:mergeCell ref="C28:K28"/>
    <x:mergeCell ref="C35:K35"/>
    <x:mergeCell ref="C43:K43"/>
    <x:mergeCell ref="I7:K7"/>
    <x:mergeCell ref="I8:K8"/>
    <x:mergeCell ref="I9:K9"/>
    <x:mergeCell ref="I10:K10"/>
    <x:mergeCell ref="I11:K11"/>
    <x:mergeCell ref="I12:K12"/>
    <x:mergeCell ref="I13:K13"/>
    <x:mergeCell ref="I14:K14"/>
    <x:mergeCell ref="I15:K15"/>
    <x:mergeCell ref="I16:K16"/>
    <x:mergeCell ref="I17:K17"/>
    <x:mergeCell ref="I18:K18"/>
    <x:mergeCell ref="I19:K19"/>
    <x:mergeCell ref="I22:K22"/>
    <x:mergeCell ref="I23:K23"/>
    <x:mergeCell ref="I24:K24"/>
    <x:mergeCell ref="I25:K25"/>
    <x:mergeCell ref="I26:K26"/>
    <x:mergeCell ref="I29:K29"/>
    <x:mergeCell ref="I30:K30"/>
    <x:mergeCell ref="I31:K31"/>
    <x:mergeCell ref="I32:K32"/>
    <x:mergeCell ref="I33:K33"/>
    <x:mergeCell ref="I34:K34"/>
    <x:mergeCell ref="I36:K36"/>
    <x:mergeCell ref="I37:K37"/>
    <x:mergeCell ref="I38:K38"/>
    <x:mergeCell ref="I39:K39"/>
    <x:mergeCell ref="I40:K40"/>
    <x:mergeCell ref="I41:K41"/>
    <x:mergeCell ref="I42:K42"/>
    <x:mergeCell ref="I44:K44"/>
    <x:mergeCell ref="I45:K45"/>
    <x:mergeCell ref="I46:K46"/>
    <x:mergeCell ref="I48:K48"/>
    <x:mergeCell ref="C51:K51"/>
    <x:mergeCell ref="C53:K53"/>
    <x:mergeCell ref="C54:K54"/>
    <x:mergeCell ref="C56:K56"/>
    <x:mergeCell ref="C57:K57"/>
    <x:mergeCell ref="C59:K60"/>
    <x:mergeCell ref="C62:K63"/>
    <x:mergeCell ref="C65:K66"/>
    <x:mergeCell ref="C68:K69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>
      <x:pane xSplit="4" ySplit="7" topLeftCell="E8" activePane="bottomRight" state="frozen"/>
    </x:sheetView>
  </x:sheetViews>
  <x:sheetFormatPr defaultRowHeight="15"/>
  <x:cols>
    <x:col min="1" max="1" width="2.200000047683716" hidden="0" customWidth="1"/>
    <x:col min="2" max="2" width="2.200000047683716" hidden="0" customWidth="1"/>
    <x:col min="3" max="3" width="53" hidden="0" customWidth="1"/>
    <x:col min="4" max="4" width="9" hidden="0" customWidth="1"/>
    <x:col min="5" max="5" width="13" hidden="0" customWidth="1"/>
    <x:col min="6" max="6" width="13" hidden="0" customWidth="1"/>
    <x:col min="7" max="7" width="13" hidden="0" customWidth="1"/>
    <x:col min="8" max="8" width="13" hidden="0" customWidth="1"/>
    <x:col min="9" max="9" width="13" hidden="0" customWidth="1"/>
    <x:col min="10" max="10" width="13" hidden="0" customWidth="1"/>
    <x:col min="11" max="11" width="13" hidden="0" customWidth="1"/>
    <x:col min="12" max="12" width="3" hidden="0" customWidth="1"/>
    <x:col min="13" max="13" width="17" hidden="0" customWidth="1"/>
    <x:col min="14" max="14" width="17" hidden="0" customWidth="1"/>
    <x:col min="15" max="15" width="17" hidden="0" customWidth="1"/>
  </x:cols>
  <x:sheetData>
    <x:row r="1" ht="22" customHeight="1">
      <x:c r="A1" s="2"/>
      <x:c r="B1" s="2"/>
      <x:c r="C1" s="2"/>
      <x:c r="D1" s="2"/>
      <x:c r="E1" s="4"/>
      <x:c r="F1" s="4"/>
      <x:c r="G1" s="4"/>
      <x:c r="H1" s="4"/>
      <x:c r="I1" s="4"/>
      <x:c r="J1" s="4"/>
      <x:c r="K1" s="4"/>
      <x:c r="L1" s="2"/>
      <x:c r="M1" s="2"/>
      <x:c r="N1" s="2"/>
      <x:c r="O1" s="2"/>
    </x:row>
    <x:row r="2" ht="24" customHeight="1">
      <x:c r="A2" s="2"/>
      <x:c r="B2" s="2"/>
      <x:c r="C2" s="9" t="str">
        <x:v>Model reconciliations</x:v>
      </x:c>
      <x:c r="D2" s="9" t="str">
        <x:v>Model reconciliations</x:v>
      </x:c>
      <x:c r="E2" s="10" t="str">
        <x:v>Model reconciliations</x:v>
      </x:c>
      <x:c r="F2" s="10" t="str">
        <x:v>Model reconciliations</x:v>
      </x:c>
      <x:c r="G2" s="10" t="str">
        <x:v>Model reconciliations</x:v>
      </x:c>
      <x:c r="H2" s="10" t="str">
        <x:v>Model reconciliations</x:v>
      </x:c>
      <x:c r="I2" s="10" t="str">
        <x:v>Model reconciliations</x:v>
      </x:c>
      <x:c r="J2" s="10" t="str">
        <x:v>Model reconciliations</x:v>
      </x:c>
      <x:c r="K2" s="10" t="str">
        <x:v>Model reconciliations</x:v>
      </x:c>
      <x:c r="L2" s="2"/>
      <x:c r="M2" s="2"/>
      <x:c r="N2" s="2"/>
      <x:c r="O2" s="2"/>
    </x:row>
    <x:row r="3" ht="22" customHeight="1">
      <x:c r="A3" s="2"/>
      <x:c r="B3" s="2"/>
      <x:c r="C3" s="5"/>
      <x:c r="D3" s="5"/>
      <x:c r="E3" s="6"/>
      <x:c r="F3" s="6"/>
      <x:c r="G3" s="6"/>
      <x:c r="H3" s="6"/>
      <x:c r="I3" s="6"/>
      <x:c r="J3" s="6"/>
      <x:c r="K3" s="6"/>
      <x:c r="L3" s="2"/>
      <x:c r="M3" s="2"/>
      <x:c r="N3" s="2"/>
      <x:c r="O3" s="2"/>
    </x:row>
    <x:row r="4" ht="24" customHeight="1">
      <x:c r="A4" s="2"/>
      <x:c r="B4" s="2"/>
      <x:c r="C4" s="40" t="str">
        <x:v>Differences should be within tolerance. Checks are independent review outputs and never feed the model.</x:v>
      </x:c>
      <x:c r="D4" s="40" t="str">
        <x:v>Differences should be within tolerance. Checks are independent review outputs and never feed the model.</x:v>
      </x:c>
      <x:c r="E4" s="58" t="str">
        <x:v>Differences should be within tolerance. Checks are independent review outputs and never feed the model.</x:v>
      </x:c>
      <x:c r="F4" s="58" t="str">
        <x:v>Differences should be within tolerance. Checks are independent review outputs and never feed the model.</x:v>
      </x:c>
      <x:c r="G4" s="58" t="str">
        <x:v>Differences should be within tolerance. Checks are independent review outputs and never feed the model.</x:v>
      </x:c>
      <x:c r="H4" s="58" t="str">
        <x:v>Differences should be within tolerance. Checks are independent review outputs and never feed the model.</x:v>
      </x:c>
      <x:c r="I4" s="58" t="str">
        <x:v>Differences should be within tolerance. Checks are independent review outputs and never feed the model.</x:v>
      </x:c>
      <x:c r="J4" s="58" t="str">
        <x:v>Differences should be within tolerance. Checks are independent review outputs and never feed the model.</x:v>
      </x:c>
      <x:c r="K4" s="58" t="str">
        <x:v>Differences should be within tolerance. Checks are independent review outputs and never feed the model.</x:v>
      </x:c>
      <x:c r="L4" s="2"/>
      <x:c r="M4" s="2"/>
      <x:c r="N4" s="2"/>
      <x:c r="O4" s="2"/>
    </x:row>
    <x:row r="5" ht="24" customHeight="1">
      <x:c r="A5" s="2"/>
      <x:c r="B5" s="2"/>
      <x:c r="C5" s="40" t="str">
        <x:v>Differences should be within tolerance. Checks are independent review outputs and never feed the model.</x:v>
      </x:c>
      <x:c r="D5" s="40" t="str">
        <x:v>Differences should be within tolerance. Checks are independent review outputs and never feed the model.</x:v>
      </x:c>
      <x:c r="E5" s="58" t="str">
        <x:v>Differences should be within tolerance. Checks are independent review outputs and never feed the model.</x:v>
      </x:c>
      <x:c r="F5" s="58" t="str">
        <x:v>Differences should be within tolerance. Checks are independent review outputs and never feed the model.</x:v>
      </x:c>
      <x:c r="G5" s="58" t="str">
        <x:v>Differences should be within tolerance. Checks are independent review outputs and never feed the model.</x:v>
      </x:c>
      <x:c r="H5" s="58" t="str">
        <x:v>Differences should be within tolerance. Checks are independent review outputs and never feed the model.</x:v>
      </x:c>
      <x:c r="I5" s="58" t="str">
        <x:v>Differences should be within tolerance. Checks are independent review outputs and never feed the model.</x:v>
      </x:c>
      <x:c r="J5" s="58" t="str">
        <x:v>Differences should be within tolerance. Checks are independent review outputs and never feed the model.</x:v>
      </x:c>
      <x:c r="K5" s="58" t="str">
        <x:v>Differences should be within tolerance. Checks are independent review outputs and never feed the model.</x:v>
      </x:c>
      <x:c r="L5" s="2"/>
      <x:c r="M5" s="2"/>
      <x:c r="N5" s="2"/>
      <x:c r="O5" s="2"/>
    </x:row>
    <x:row r="6" ht="22" customHeight="1">
      <x:c r="A6" s="2"/>
      <x:c r="B6" s="2"/>
      <x:c r="C6" s="2"/>
      <x:c r="D6" s="2"/>
      <x:c r="E6" s="4"/>
      <x:c r="F6" s="4"/>
      <x:c r="G6" s="4"/>
      <x:c r="H6" s="4"/>
      <x:c r="I6" s="4"/>
      <x:c r="J6" s="4"/>
      <x:c r="K6" s="4"/>
      <x:c r="L6" s="2"/>
      <x:c r="M6" s="2"/>
      <x:c r="N6" s="2"/>
      <x:c r="O6" s="2"/>
    </x:row>
    <x:row r="7" ht="27" customHeight="1">
      <x:c r="A7" s="2"/>
      <x:c r="B7" s="2"/>
      <x:c r="C7" s="19" t="str">
        <x:v>Reconciliation</x:v>
      </x:c>
      <x:c r="D7" s="19" t="str">
        <x:v>Unit</x:v>
      </x:c>
      <x:c r="E7" s="20" t="str">
        <x:v>Difference</x:v>
      </x:c>
      <x:c r="F7" s="20" t="str">
        <x:v>Tolerance</x:v>
      </x:c>
      <x:c r="G7" s="20" t="str">
        <x:v>Result</x:v>
      </x:c>
      <x:c r="H7" s="4"/>
      <x:c r="I7" s="4"/>
      <x:c r="J7" s="4"/>
      <x:c r="K7" s="4"/>
      <x:c r="L7" s="2"/>
      <x:c r="M7" s="2"/>
      <x:c r="N7" s="2"/>
      <x:c r="O7" s="2"/>
    </x:row>
    <x:row r="8" ht="22" customHeight="1">
      <x:c r="A8" s="2"/>
      <x:c r="B8" s="2"/>
      <x:c r="C8" s="2"/>
      <x:c r="D8" s="2"/>
      <x:c r="E8" s="4"/>
      <x:c r="F8" s="4"/>
      <x:c r="G8" s="4"/>
      <x:c r="H8" s="4"/>
      <x:c r="I8" s="4"/>
      <x:c r="J8" s="4"/>
      <x:c r="K8" s="4"/>
      <x:c r="L8" s="2"/>
      <x:c r="M8" s="2"/>
      <x:c r="N8" s="2"/>
      <x:c r="O8" s="2"/>
    </x:row>
    <x:row r="9" ht="22" customHeight="1">
      <x:c r="A9" s="2"/>
      <x:c r="B9" s="2"/>
      <x:c r="C9" s="2" t="str">
        <x:v>FY2024: revenue less COGS = gross profit</x:v>
      </x:c>
      <x:c r="D9" s="2" t="str">
        <x:v>$m</x:v>
      </x:c>
      <x:c r="E9" s="79" t="n">
        <x:f>'Sources'!E8-'Sources'!E9-'Sources'!E10</x:f>
        <x:v>-4.547473508864641e-13</x:v>
      </x:c>
      <x:c r="F9" s="80" t="n">
        <x:v>0.11</x:v>
      </x:c>
      <x:c r="G9" s="4" t="str">
        <x:f>IF(ABS(E9)&lt;=F9,"OK","REVIEW")</x:f>
        <x:v>OK</x:v>
      </x:c>
      <x:c r="H9" s="4"/>
      <x:c r="I9" s="4"/>
      <x:c r="J9" s="4"/>
      <x:c r="K9" s="4"/>
      <x:c r="L9" s="2"/>
      <x:c r="M9" s="2"/>
      <x:c r="N9" s="2"/>
      <x:c r="O9" s="2"/>
    </x:row>
    <x:row r="10" ht="22" customHeight="1">
      <x:c r="A10" s="2"/>
      <x:c r="B10" s="2"/>
      <x:c r="C10" s="2" t="str">
        <x:v>FY2024: net income to reported CFO</x:v>
      </x:c>
      <x:c r="D10" s="2" t="str">
        <x:v>$m</x:v>
      </x:c>
      <x:c r="E10" s="79" t="n">
        <x:f>SUM('Sources'!E29:E34)+SUM('Sources'!E36:E42)+'Sources'!E17-'Sources'!E44</x:f>
        <x:v>0</x:v>
      </x:c>
      <x:c r="F10" s="80" t="n">
        <x:v>0.75</x:v>
      </x:c>
      <x:c r="G10" s="4" t="str">
        <x:f>IF(ABS(E10)&lt;=F10,"OK","REVIEW")</x:f>
        <x:v>OK</x:v>
      </x:c>
      <x:c r="H10" s="4"/>
      <x:c r="I10" s="4"/>
      <x:c r="J10" s="4"/>
      <x:c r="K10" s="4"/>
      <x:c r="L10" s="2"/>
      <x:c r="M10" s="2"/>
      <x:c r="N10" s="2"/>
      <x:c r="O10" s="2"/>
    </x:row>
    <x:row r="11" ht="22" customHeight="1">
      <x:c r="A11" s="2"/>
      <x:c r="B11" s="2"/>
      <x:c r="C11" s="2" t="str">
        <x:v>FY2025: revenue less COGS = gross profit</x:v>
      </x:c>
      <x:c r="D11" s="2" t="str">
        <x:v>$m</x:v>
      </x:c>
      <x:c r="E11" s="79" t="n">
        <x:f>'Sources'!F8-'Sources'!F9-'Sources'!F10</x:f>
        <x:v>0</x:v>
      </x:c>
      <x:c r="F11" s="80" t="n">
        <x:v>0.11</x:v>
      </x:c>
      <x:c r="G11" s="4" t="str">
        <x:f>IF(ABS(E11)&lt;=F11,"OK","REVIEW")</x:f>
        <x:v>OK</x:v>
      </x:c>
      <x:c r="H11" s="4"/>
      <x:c r="I11" s="4"/>
      <x:c r="J11" s="4"/>
      <x:c r="K11" s="4"/>
      <x:c r="L11" s="2"/>
      <x:c r="M11" s="2"/>
      <x:c r="N11" s="2"/>
      <x:c r="O11" s="2"/>
    </x:row>
    <x:row r="12" ht="22" customHeight="1">
      <x:c r="A12" s="2"/>
      <x:c r="B12" s="2"/>
      <x:c r="C12" s="2" t="str">
        <x:v>FY2025: net income to reported CFO</x:v>
      </x:c>
      <x:c r="D12" s="2" t="str">
        <x:v>$m</x:v>
      </x:c>
      <x:c r="E12" s="79" t="n">
        <x:f>SUM('Sources'!F29:F34)+SUM('Sources'!F36:F42)+'Sources'!F17-'Sources'!F44</x:f>
        <x:v>0</x:v>
      </x:c>
      <x:c r="F12" s="80" t="n">
        <x:v>0.75</x:v>
      </x:c>
      <x:c r="G12" s="4" t="str">
        <x:f>IF(ABS(E12)&lt;=F12,"OK","REVIEW")</x:f>
        <x:v>OK</x:v>
      </x:c>
      <x:c r="H12" s="4"/>
      <x:c r="I12" s="4"/>
      <x:c r="J12" s="4"/>
      <x:c r="K12" s="4"/>
      <x:c r="L12" s="2"/>
      <x:c r="M12" s="2"/>
      <x:c r="N12" s="2"/>
      <x:c r="O12" s="2"/>
    </x:row>
    <x:row r="13" ht="22" customHeight="1">
      <x:c r="A13" s="2"/>
      <x:c r="B13" s="2"/>
      <x:c r="C13" s="2" t="str">
        <x:v>H1 2025: revenue less COGS = gross profit</x:v>
      </x:c>
      <x:c r="D13" s="2" t="str">
        <x:v>$m</x:v>
      </x:c>
      <x:c r="E13" s="79" t="n">
        <x:f>'Sources'!G8-'Sources'!G9-'Sources'!G10</x:f>
        <x:v>-2.2737367544323206e-13</x:v>
      </x:c>
      <x:c r="F13" s="80" t="n">
        <x:v>0.11</x:v>
      </x:c>
      <x:c r="G13" s="4" t="str">
        <x:f>IF(ABS(E13)&lt;=F13,"OK","REVIEW")</x:f>
        <x:v>OK</x:v>
      </x:c>
      <x:c r="H13" s="4"/>
      <x:c r="I13" s="4"/>
      <x:c r="J13" s="4"/>
      <x:c r="K13" s="4"/>
      <x:c r="L13" s="2"/>
      <x:c r="M13" s="2"/>
      <x:c r="N13" s="2"/>
      <x:c r="O13" s="2"/>
    </x:row>
    <x:row r="14" ht="22" customHeight="1">
      <x:c r="A14" s="2"/>
      <x:c r="B14" s="2"/>
      <x:c r="C14" s="2" t="str">
        <x:v>H1 2025: net income to reported CFO</x:v>
      </x:c>
      <x:c r="D14" s="2" t="str">
        <x:v>$m</x:v>
      </x:c>
      <x:c r="E14" s="79" t="n">
        <x:f>SUM('Sources'!G29:G34)+SUM('Sources'!G36:G42)+'Sources'!G17-'Sources'!G44</x:f>
        <x:v>0</x:v>
      </x:c>
      <x:c r="F14" s="80" t="n">
        <x:v>0.75</x:v>
      </x:c>
      <x:c r="G14" s="4" t="str">
        <x:f>IF(ABS(E14)&lt;=F14,"OK","REVIEW")</x:f>
        <x:v>OK</x:v>
      </x:c>
      <x:c r="H14" s="4"/>
      <x:c r="I14" s="4"/>
      <x:c r="J14" s="4"/>
      <x:c r="K14" s="4"/>
      <x:c r="L14" s="2"/>
      <x:c r="M14" s="2"/>
      <x:c r="N14" s="2"/>
      <x:c r="O14" s="2"/>
    </x:row>
    <x:row r="15" ht="22" customHeight="1">
      <x:c r="A15" s="2"/>
      <x:c r="B15" s="2"/>
      <x:c r="C15" s="2" t="str">
        <x:v>H1 2026: revenue less COGS = gross profit</x:v>
      </x:c>
      <x:c r="D15" s="2" t="str">
        <x:v>$m</x:v>
      </x:c>
      <x:c r="E15" s="79" t="n">
        <x:f>'Sources'!H8-'Sources'!H9-'Sources'!H10</x:f>
        <x:v>4.547473508864641e-13</x:v>
      </x:c>
      <x:c r="F15" s="80" t="n">
        <x:v>0.11</x:v>
      </x:c>
      <x:c r="G15" s="4" t="str">
        <x:f>IF(ABS(E15)&lt;=F15,"OK","REVIEW")</x:f>
        <x:v>OK</x:v>
      </x:c>
      <x:c r="H15" s="4"/>
      <x:c r="I15" s="4"/>
      <x:c r="J15" s="4"/>
      <x:c r="K15" s="4"/>
      <x:c r="L15" s="2"/>
      <x:c r="M15" s="2"/>
      <x:c r="N15" s="2"/>
      <x:c r="O15" s="2"/>
    </x:row>
    <x:row r="16" ht="22" customHeight="1">
      <x:c r="A16" s="2"/>
      <x:c r="B16" s="2"/>
      <x:c r="C16" s="2" t="str">
        <x:v>H1 2026: net income to reported CFO</x:v>
      </x:c>
      <x:c r="D16" s="2" t="str">
        <x:v>$m</x:v>
      </x:c>
      <x:c r="E16" s="79" t="n">
        <x:f>SUM('Sources'!H29:H34)+SUM('Sources'!H36:H42)+'Sources'!H17-'Sources'!H44</x:f>
        <x:v>0.1999999999999318</x:v>
      </x:c>
      <x:c r="F16" s="80" t="n">
        <x:v>0.75</x:v>
      </x:c>
      <x:c r="G16" s="4" t="str">
        <x:f>IF(ABS(E16)&lt;=F16,"OK","REVIEW")</x:f>
        <x:v>OK</x:v>
      </x:c>
      <x:c r="H16" s="4"/>
      <x:c r="I16" s="4"/>
      <x:c r="J16" s="4"/>
      <x:c r="K16" s="4"/>
      <x:c r="L16" s="2"/>
      <x:c r="M16" s="2"/>
      <x:c r="N16" s="2"/>
      <x:c r="O16" s="2"/>
    </x:row>
    <x:row r="17" ht="22" customHeight="1">
      <x:c r="A17" s="2"/>
      <x:c r="B17" s="2"/>
      <x:c r="C17" s="2" t="str">
        <x:v>Bear: FY2030 gross profit less SG&amp;A = EBIT</x:v>
      </x:c>
      <x:c r="D17" s="2" t="str">
        <x:v>$m</x:v>
      </x:c>
      <x:c r="E17" s="79" t="n">
        <x:f>'Model'!K12-'Model'!K15-'Model'!K17</x:f>
        <x:v>0</x:v>
      </x:c>
      <x:c r="F17" s="80" t="n">
        <x:v>0.00001</x:v>
      </x:c>
      <x:c r="G17" s="4" t="str">
        <x:f>IF(ABS(E17)&lt;=F17,"OK","REVIEW")</x:f>
        <x:v>OK</x:v>
      </x:c>
      <x:c r="H17" s="4"/>
      <x:c r="I17" s="4"/>
      <x:c r="J17" s="4"/>
      <x:c r="K17" s="4"/>
      <x:c r="L17" s="2"/>
      <x:c r="M17" s="2"/>
      <x:c r="N17" s="2"/>
      <x:c r="O17" s="2"/>
    </x:row>
    <x:row r="18" ht="22" customHeight="1">
      <x:c r="A18" s="2"/>
      <x:c r="B18" s="2"/>
      <x:c r="C18" s="2" t="str">
        <x:v>Bear: FY2030 FCF bridge</x:v>
      </x:c>
      <x:c r="D18" s="2" t="str">
        <x:v>$m</x:v>
      </x:c>
      <x:c r="E18" s="79" t="n">
        <x:f>SUM('Model'!K56:K60)-'Model'!K62-'Model'!K63</x:f>
        <x:v>0</x:v>
      </x:c>
      <x:c r="F18" s="80" t="n">
        <x:v>0.00001</x:v>
      </x:c>
      <x:c r="G18" s="4" t="str">
        <x:f>IF(ABS(E18)&lt;=F18,"OK","REVIEW")</x:f>
        <x:v>OK</x:v>
      </x:c>
      <x:c r="H18" s="4"/>
      <x:c r="I18" s="4"/>
      <x:c r="J18" s="4"/>
      <x:c r="K18" s="4"/>
      <x:c r="L18" s="2"/>
      <x:c r="M18" s="2"/>
      <x:c r="N18" s="2"/>
      <x:c r="O18" s="2"/>
    </x:row>
    <x:row r="19" ht="22" customHeight="1">
      <x:c r="A19" s="2"/>
      <x:c r="B19" s="2"/>
      <x:c r="C19" s="2" t="str">
        <x:v>Bear: cumulative NWC change = balance delta</x:v>
      </x:c>
      <x:c r="D19" s="2" t="str">
        <x:v>$m</x:v>
      </x:c>
      <x:c r="E19" s="79" t="n">
        <x:f>SUM('Model'!G40:K40)-'Model'!K38+'Model'!F38</x:f>
        <x:v>0</x:v>
      </x:c>
      <x:c r="F19" s="80" t="n">
        <x:v>0.00001</x:v>
      </x:c>
      <x:c r="G19" s="4" t="str">
        <x:f>IF(ABS(E19)&lt;=F19,"OK","REVIEW")</x:f>
        <x:v>OK</x:v>
      </x:c>
      <x:c r="H19" s="4"/>
      <x:c r="I19" s="4"/>
      <x:c r="J19" s="4"/>
      <x:c r="K19" s="4"/>
      <x:c r="L19" s="2"/>
      <x:c r="M19" s="2"/>
      <x:c r="N19" s="2"/>
      <x:c r="O19" s="2"/>
    </x:row>
    <x:row r="20" ht="22" customHeight="1">
      <x:c r="A20" s="2"/>
      <x:c r="B20" s="2"/>
      <x:c r="C20" s="2" t="str">
        <x:v>Bear: FY2026 H1 + H2 sales = full year</x:v>
      </x:c>
      <x:c r="D20" s="2" t="str">
        <x:v>$m</x:v>
      </x:c>
      <x:c r="E20" s="79" t="n">
        <x:f>SUM('Model'!G69:G70)-'Model'!G9</x:f>
        <x:v>0</x:v>
      </x:c>
      <x:c r="F20" s="80" t="n">
        <x:v>0.00001</x:v>
      </x:c>
      <x:c r="G20" s="4" t="str">
        <x:f>IF(ABS(E20)&lt;=F20,"OK","REVIEW")</x:f>
        <x:v>OK</x:v>
      </x:c>
      <x:c r="H20" s="4"/>
      <x:c r="I20" s="4"/>
      <x:c r="J20" s="4"/>
      <x:c r="K20" s="4"/>
      <x:c r="L20" s="2"/>
      <x:c r="M20" s="2"/>
      <x:c r="N20" s="2"/>
      <x:c r="O20" s="2"/>
    </x:row>
    <x:row r="21" ht="22" customHeight="1">
      <x:c r="A21" s="2"/>
      <x:c r="B21" s="2"/>
      <x:c r="C21" s="2" t="str">
        <x:v>Bear: minimum implied H2 sales / EBIT / capex</x:v>
      </x:c>
      <x:c r="D21" s="2" t="str">
        <x:v>$m</x:v>
      </x:c>
      <x:c r="E21" s="79" t="n">
        <x:f>MIN('Model'!G70,'Model'!G73,'Model'!G78)</x:f>
        <x:v>191.8</x:v>
      </x:c>
      <x:c r="F21" s="80" t="n">
        <x:v>0</x:v>
      </x:c>
      <x:c r="G21" s="4" t="str">
        <x:f>IF(E21&gt;=0,"OK","REVIEW")</x:f>
        <x:v>OK</x:v>
      </x:c>
      <x:c r="H21" s="4"/>
      <x:c r="I21" s="4"/>
      <x:c r="J21" s="4"/>
      <x:c r="K21" s="4"/>
      <x:c r="L21" s="2"/>
      <x:c r="M21" s="2"/>
      <x:c r="N21" s="2"/>
      <x:c r="O21" s="2"/>
    </x:row>
    <x:row r="22" ht="22" customHeight="1">
      <x:c r="A22" s="2"/>
      <x:c r="B22" s="2"/>
      <x:c r="C22" s="2" t="str">
        <x:v>Base: FY2030 gross profit less SG&amp;A = EBIT</x:v>
      </x:c>
      <x:c r="D22" s="2" t="str">
        <x:v>$m</x:v>
      </x:c>
      <x:c r="E22" s="79" t="n">
        <x:f>'Model'!K100-'Model'!K103-'Model'!K105</x:f>
        <x:v>0</x:v>
      </x:c>
      <x:c r="F22" s="80" t="n">
        <x:v>0.00001</x:v>
      </x:c>
      <x:c r="G22" s="4" t="str">
        <x:f>IF(ABS(E22)&lt;=F22,"OK","REVIEW")</x:f>
        <x:v>OK</x:v>
      </x:c>
      <x:c r="H22" s="4"/>
      <x:c r="I22" s="4"/>
      <x:c r="J22" s="4"/>
      <x:c r="K22" s="4"/>
      <x:c r="L22" s="2"/>
      <x:c r="M22" s="2"/>
      <x:c r="N22" s="2"/>
      <x:c r="O22" s="2"/>
    </x:row>
    <x:row r="23" ht="22" customHeight="1">
      <x:c r="A23" s="2"/>
      <x:c r="B23" s="2"/>
      <x:c r="C23" s="2" t="str">
        <x:v>Base: FY2030 FCF bridge</x:v>
      </x:c>
      <x:c r="D23" s="2" t="str">
        <x:v>$m</x:v>
      </x:c>
      <x:c r="E23" s="79" t="n">
        <x:f>SUM('Model'!K144:K148)-'Model'!K150-'Model'!K151</x:f>
        <x:v>0</x:v>
      </x:c>
      <x:c r="F23" s="80" t="n">
        <x:v>0.00001</x:v>
      </x:c>
      <x:c r="G23" s="4" t="str">
        <x:f>IF(ABS(E23)&lt;=F23,"OK","REVIEW")</x:f>
        <x:v>OK</x:v>
      </x:c>
      <x:c r="H23" s="4"/>
      <x:c r="I23" s="4"/>
      <x:c r="J23" s="4"/>
      <x:c r="K23" s="4"/>
      <x:c r="L23" s="2"/>
      <x:c r="M23" s="2"/>
      <x:c r="N23" s="2"/>
      <x:c r="O23" s="2"/>
    </x:row>
    <x:row r="24" ht="22" customHeight="1">
      <x:c r="A24" s="2"/>
      <x:c r="B24" s="2"/>
      <x:c r="C24" s="2" t="str">
        <x:v>Base: cumulative NWC change = balance delta</x:v>
      </x:c>
      <x:c r="D24" s="2" t="str">
        <x:v>$m</x:v>
      </x:c>
      <x:c r="E24" s="79" t="n">
        <x:f>SUM('Model'!G128:K128)-'Model'!K126+'Model'!F126</x:f>
        <x:v>0</x:v>
      </x:c>
      <x:c r="F24" s="80" t="n">
        <x:v>0.00001</x:v>
      </x:c>
      <x:c r="G24" s="4" t="str">
        <x:f>IF(ABS(E24)&lt;=F24,"OK","REVIEW")</x:f>
        <x:v>OK</x:v>
      </x:c>
      <x:c r="H24" s="4"/>
      <x:c r="I24" s="4"/>
      <x:c r="J24" s="4"/>
      <x:c r="K24" s="4"/>
      <x:c r="L24" s="2"/>
      <x:c r="M24" s="2"/>
      <x:c r="N24" s="2"/>
      <x:c r="O24" s="2"/>
    </x:row>
    <x:row r="25" ht="22" customHeight="1">
      <x:c r="A25" s="2"/>
      <x:c r="B25" s="2"/>
      <x:c r="C25" s="2" t="str">
        <x:v>Base: FY2026 H1 + H2 sales = full year</x:v>
      </x:c>
      <x:c r="D25" s="2" t="str">
        <x:v>$m</x:v>
      </x:c>
      <x:c r="E25" s="79" t="n">
        <x:f>SUM('Model'!G157:G158)-'Model'!G97</x:f>
        <x:v>0</x:v>
      </x:c>
      <x:c r="F25" s="80" t="n">
        <x:v>0.00001</x:v>
      </x:c>
      <x:c r="G25" s="4" t="str">
        <x:f>IF(ABS(E25)&lt;=F25,"OK","REVIEW")</x:f>
        <x:v>OK</x:v>
      </x:c>
      <x:c r="H25" s="4"/>
      <x:c r="I25" s="4"/>
      <x:c r="J25" s="4"/>
      <x:c r="K25" s="4"/>
      <x:c r="L25" s="2"/>
      <x:c r="M25" s="2"/>
      <x:c r="N25" s="2"/>
      <x:c r="O25" s="2"/>
    </x:row>
    <x:row r="26" ht="22" customHeight="1">
      <x:c r="A26" s="2"/>
      <x:c r="B26" s="2"/>
      <x:c r="C26" s="2" t="str">
        <x:v>Base: minimum implied H2 sales / EBIT / capex</x:v>
      </x:c>
      <x:c r="D26" s="2" t="str">
        <x:v>$m</x:v>
      </x:c>
      <x:c r="E26" s="79" t="n">
        <x:f>MIN('Model'!G158,'Model'!G161,'Model'!G166)</x:f>
        <x:v>201.80000000000007</x:v>
      </x:c>
      <x:c r="F26" s="80" t="n">
        <x:v>0</x:v>
      </x:c>
      <x:c r="G26" s="4" t="str">
        <x:f>IF(E26&gt;=0,"OK","REVIEW")</x:f>
        <x:v>OK</x:v>
      </x:c>
      <x:c r="H26" s="4"/>
      <x:c r="I26" s="4"/>
      <x:c r="J26" s="4"/>
      <x:c r="K26" s="4"/>
      <x:c r="L26" s="2"/>
      <x:c r="M26" s="2"/>
      <x:c r="N26" s="2"/>
      <x:c r="O26" s="2"/>
    </x:row>
    <x:row r="27" ht="22" customHeight="1">
      <x:c r="A27" s="2"/>
      <x:c r="B27" s="2"/>
      <x:c r="C27" s="2" t="str">
        <x:v>Bull: FY2030 gross profit less SG&amp;A = EBIT</x:v>
      </x:c>
      <x:c r="D27" s="2" t="str">
        <x:v>$m</x:v>
      </x:c>
      <x:c r="E27" s="79" t="n">
        <x:f>'Model'!K188-'Model'!K191-'Model'!K193</x:f>
        <x:v>0</x:v>
      </x:c>
      <x:c r="F27" s="80" t="n">
        <x:v>0.00001</x:v>
      </x:c>
      <x:c r="G27" s="4" t="str">
        <x:f>IF(ABS(E27)&lt;=F27,"OK","REVIEW")</x:f>
        <x:v>OK</x:v>
      </x:c>
      <x:c r="H27" s="4"/>
      <x:c r="I27" s="4"/>
      <x:c r="J27" s="4"/>
      <x:c r="K27" s="4"/>
      <x:c r="L27" s="2"/>
      <x:c r="M27" s="2"/>
      <x:c r="N27" s="2"/>
      <x:c r="O27" s="2"/>
    </x:row>
    <x:row r="28" ht="22" customHeight="1">
      <x:c r="A28" s="2"/>
      <x:c r="B28" s="2"/>
      <x:c r="C28" s="2" t="str">
        <x:v>Bull: FY2030 FCF bridge</x:v>
      </x:c>
      <x:c r="D28" s="2" t="str">
        <x:v>$m</x:v>
      </x:c>
      <x:c r="E28" s="79" t="n">
        <x:f>SUM('Model'!K232:K236)-'Model'!K238-'Model'!K239</x:f>
        <x:v>0</x:v>
      </x:c>
      <x:c r="F28" s="80" t="n">
        <x:v>0.00001</x:v>
      </x:c>
      <x:c r="G28" s="4" t="str">
        <x:f>IF(ABS(E28)&lt;=F28,"OK","REVIEW")</x:f>
        <x:v>OK</x:v>
      </x:c>
      <x:c r="H28" s="4"/>
      <x:c r="I28" s="4"/>
      <x:c r="J28" s="4"/>
      <x:c r="K28" s="4"/>
      <x:c r="L28" s="2"/>
      <x:c r="M28" s="2"/>
      <x:c r="N28" s="2"/>
      <x:c r="O28" s="2"/>
    </x:row>
    <x:row r="29" ht="22" customHeight="1">
      <x:c r="A29" s="2"/>
      <x:c r="B29" s="2"/>
      <x:c r="C29" s="2" t="str">
        <x:v>Bull: cumulative NWC change = balance delta</x:v>
      </x:c>
      <x:c r="D29" s="2" t="str">
        <x:v>$m</x:v>
      </x:c>
      <x:c r="E29" s="79" t="n">
        <x:f>SUM('Model'!G216:K216)-'Model'!K214+'Model'!F214</x:f>
        <x:v>0</x:v>
      </x:c>
      <x:c r="F29" s="80" t="n">
        <x:v>0.00001</x:v>
      </x:c>
      <x:c r="G29" s="4" t="str">
        <x:f>IF(ABS(E29)&lt;=F29,"OK","REVIEW")</x:f>
        <x:v>OK</x:v>
      </x:c>
      <x:c r="H29" s="4"/>
      <x:c r="I29" s="4"/>
      <x:c r="J29" s="4"/>
      <x:c r="K29" s="4"/>
      <x:c r="L29" s="2"/>
      <x:c r="M29" s="2"/>
      <x:c r="N29" s="2"/>
      <x:c r="O29" s="2"/>
    </x:row>
    <x:row r="30" ht="22" customHeight="1">
      <x:c r="A30" s="2"/>
      <x:c r="B30" s="2"/>
      <x:c r="C30" s="2" t="str">
        <x:v>Bull: FY2026 H1 + H2 sales = full year</x:v>
      </x:c>
      <x:c r="D30" s="2" t="str">
        <x:v>$m</x:v>
      </x:c>
      <x:c r="E30" s="79" t="n">
        <x:f>SUM('Model'!G245:G246)-'Model'!G185</x:f>
        <x:v>0</x:v>
      </x:c>
      <x:c r="F30" s="80" t="n">
        <x:v>0.00001</x:v>
      </x:c>
      <x:c r="G30" s="4" t="str">
        <x:f>IF(ABS(E30)&lt;=F30,"OK","REVIEW")</x:f>
        <x:v>OK</x:v>
      </x:c>
      <x:c r="H30" s="4"/>
      <x:c r="I30" s="4"/>
      <x:c r="J30" s="4"/>
      <x:c r="K30" s="4"/>
      <x:c r="L30" s="2"/>
      <x:c r="M30" s="2"/>
      <x:c r="N30" s="2"/>
      <x:c r="O30" s="2"/>
    </x:row>
    <x:row r="31" ht="22" customHeight="1">
      <x:c r="A31" s="2"/>
      <x:c r="B31" s="2"/>
      <x:c r="C31" s="2" t="str">
        <x:v>Bull: minimum implied H2 sales / EBIT / capex</x:v>
      </x:c>
      <x:c r="D31" s="2" t="str">
        <x:v>$m</x:v>
      </x:c>
      <x:c r="E31" s="79" t="n">
        <x:f>MIN('Model'!G246,'Model'!G249,'Model'!G254)</x:f>
        <x:v>211.80000000000007</x:v>
      </x:c>
      <x:c r="F31" s="80" t="n">
        <x:v>0</x:v>
      </x:c>
      <x:c r="G31" s="4" t="str">
        <x:f>IF(E31&gt;=0,"OK","REVIEW")</x:f>
        <x:v>OK</x:v>
      </x:c>
      <x:c r="H31" s="4"/>
      <x:c r="I31" s="4"/>
      <x:c r="J31" s="4"/>
      <x:c r="K31" s="4"/>
      <x:c r="L31" s="2"/>
      <x:c r="M31" s="2"/>
      <x:c r="N31" s="2"/>
      <x:c r="O31" s="2"/>
    </x:row>
    <x:row r="32" ht="22" customHeight="1">
      <x:c r="A32" s="2"/>
      <x:c r="B32" s="2"/>
      <x:c r="C32" s="2" t="str">
        <x:v>FCF sensitivity centre = Base model</x:v>
      </x:c>
      <x:c r="D32" s="2" t="str">
        <x:v>$m</x:v>
      </x:c>
      <x:c r="E32" s="79" t="n">
        <x:f>'Sensitivities'!H30-'Model'!K151</x:f>
        <x:v>0</x:v>
      </x:c>
      <x:c r="F32" s="80" t="n">
        <x:v>0.00001</x:v>
      </x:c>
      <x:c r="G32" s="4" t="str">
        <x:f>IF(ABS(E32)&lt;=F32,"OK","REVIEW")</x:f>
        <x:v>OK</x:v>
      </x:c>
      <x:c r="H32" s="4"/>
      <x:c r="I32" s="4"/>
      <x:c r="J32" s="4"/>
      <x:c r="K32" s="4"/>
      <x:c r="L32" s="2"/>
      <x:c r="M32" s="2"/>
      <x:c r="N32" s="2"/>
      <x:c r="O32" s="2"/>
    </x:row>
    <x:row r="33" ht="22" customHeight="1">
      <x:c r="A33" s="2"/>
      <x:c r="B33" s="2"/>
      <x:c r="C33" s="2" t="str">
        <x:v>EPS sensitivity centre = Base model</x:v>
      </x:c>
      <x:c r="D33" s="2" t="str">
        <x:v>$m</x:v>
      </x:c>
      <x:c r="E33" s="79" t="n">
        <x:f>'Sensitivities'!H42-'Model'!K112</x:f>
        <x:v>0</x:v>
      </x:c>
      <x:c r="F33" s="80" t="n">
        <x:v>0.00001</x:v>
      </x:c>
      <x:c r="G33" s="4" t="str">
        <x:f>IF(ABS(E33)&lt;=F33,"OK","REVIEW")</x:f>
        <x:v>OK</x:v>
      </x:c>
      <x:c r="H33" s="4"/>
      <x:c r="I33" s="4"/>
      <x:c r="J33" s="4"/>
      <x:c r="K33" s="4"/>
      <x:c r="L33" s="2"/>
      <x:c r="M33" s="2"/>
      <x:c r="N33" s="2"/>
      <x:c r="O33" s="2"/>
    </x:row>
    <x:row r="34" ht="22" customHeight="1">
      <x:c r="A34" s="2"/>
      <x:c r="B34" s="2"/>
      <x:c r="C34" s="2"/>
      <x:c r="D34" s="2"/>
      <x:c r="E34" s="4"/>
      <x:c r="F34" s="4"/>
      <x:c r="G34" s="4"/>
      <x:c r="H34" s="4"/>
      <x:c r="I34" s="4"/>
      <x:c r="J34" s="4"/>
      <x:c r="K34" s="4"/>
      <x:c r="L34" s="2"/>
      <x:c r="M34" s="2"/>
      <x:c r="N34" s="2"/>
      <x:c r="O34" s="2"/>
    </x:row>
    <x:row r="35" ht="22" customHeight="1">
      <x:c r="A35" s="2"/>
      <x:c r="B35" s="2"/>
      <x:c r="C35" s="2"/>
      <x:c r="D35" s="2"/>
      <x:c r="E35" s="4"/>
      <x:c r="F35" s="4"/>
      <x:c r="G35" s="4"/>
      <x:c r="H35" s="4"/>
      <x:c r="I35" s="4"/>
      <x:c r="J35" s="4"/>
      <x:c r="K35" s="4"/>
      <x:c r="L35" s="2"/>
      <x:c r="M35" s="2"/>
      <x:c r="N35" s="2"/>
      <x:c r="O35" s="2"/>
    </x:row>
    <x:row r="36" ht="22" customHeight="1">
      <x:c r="A36" s="2"/>
      <x:c r="B36" s="2"/>
      <x:c r="C36" s="2"/>
      <x:c r="D36" s="2"/>
      <x:c r="E36" s="4"/>
      <x:c r="F36" s="4"/>
      <x:c r="G36" s="4"/>
      <x:c r="H36" s="4"/>
      <x:c r="I36" s="4"/>
      <x:c r="J36" s="4"/>
      <x:c r="K36" s="4"/>
      <x:c r="L36" s="2"/>
      <x:c r="M36" s="2"/>
      <x:c r="N36" s="2"/>
      <x:c r="O36" s="2"/>
    </x:row>
    <x:row r="37" ht="24" customHeight="1">
      <x:c r="A37" s="2"/>
      <x:c r="B37" s="2"/>
      <x:c r="C37" s="40" t="str">
        <x:v>Reported cash-flow bridges sum individually rounded $0.1m inputs. The $0.75m tolerance covers 15 rounding terms; H1 2026 differs by $0.2m. Forecast identities use a $0.00001m numerical tolerance.</x:v>
      </x:c>
      <x:c r="D37" s="40" t="str">
        <x:v>Reported cash-flow bridges sum individually rounded $0.1m inputs. The $0.75m tolerance covers 15 rounding terms; H1 2026 differs by $0.2m. Forecast identities use a $0.00001m numerical tolerance.</x:v>
      </x:c>
      <x:c r="E37" s="58" t="str">
        <x:v>Reported cash-flow bridges sum individually rounded $0.1m inputs. The $0.75m tolerance covers 15 rounding terms; H1 2026 differs by $0.2m. Forecast identities use a $0.00001m numerical tolerance.</x:v>
      </x:c>
      <x:c r="F37" s="58" t="str">
        <x:v>Reported cash-flow bridges sum individually rounded $0.1m inputs. The $0.75m tolerance covers 15 rounding terms; H1 2026 differs by $0.2m. Forecast identities use a $0.00001m numerical tolerance.</x:v>
      </x:c>
      <x:c r="G37" s="58" t="str">
        <x:v>Reported cash-flow bridges sum individually rounded $0.1m inputs. The $0.75m tolerance covers 15 rounding terms; H1 2026 differs by $0.2m. Forecast identities use a $0.00001m numerical tolerance.</x:v>
      </x:c>
      <x:c r="H37" s="58" t="str">
        <x:v>Reported cash-flow bridges sum individually rounded $0.1m inputs. The $0.75m tolerance covers 15 rounding terms; H1 2026 differs by $0.2m. Forecast identities use a $0.00001m numerical tolerance.</x:v>
      </x:c>
      <x:c r="I37" s="58" t="str">
        <x:v>Reported cash-flow bridges sum individually rounded $0.1m inputs. The $0.75m tolerance covers 15 rounding terms; H1 2026 differs by $0.2m. Forecast identities use a $0.00001m numerical tolerance.</x:v>
      </x:c>
      <x:c r="J37" s="58" t="str">
        <x:v>Reported cash-flow bridges sum individually rounded $0.1m inputs. The $0.75m tolerance covers 15 rounding terms; H1 2026 differs by $0.2m. Forecast identities use a $0.00001m numerical tolerance.</x:v>
      </x:c>
      <x:c r="K37" s="58" t="str">
        <x:v>Reported cash-flow bridges sum individually rounded $0.1m inputs. The $0.75m tolerance covers 15 rounding terms; H1 2026 differs by $0.2m. Forecast identities use a $0.00001m numerical tolerance.</x:v>
      </x:c>
      <x:c r="L37" s="2"/>
      <x:c r="M37" s="2"/>
      <x:c r="N37" s="2"/>
      <x:c r="O37" s="2"/>
    </x:row>
    <x:row r="38" ht="24" customHeight="1">
      <x:c r="A38" s="2"/>
      <x:c r="B38" s="2"/>
      <x:c r="C38" s="40" t="str">
        <x:v>Reported cash-flow bridges sum individually rounded $0.1m inputs. The $0.75m tolerance covers 15 rounding terms; H1 2026 differs by $0.2m. Forecast identities use a $0.00001m numerical tolerance.</x:v>
      </x:c>
      <x:c r="D38" s="40" t="str">
        <x:v>Reported cash-flow bridges sum individually rounded $0.1m inputs. The $0.75m tolerance covers 15 rounding terms; H1 2026 differs by $0.2m. Forecast identities use a $0.00001m numerical tolerance.</x:v>
      </x:c>
      <x:c r="E38" s="58" t="str">
        <x:v>Reported cash-flow bridges sum individually rounded $0.1m inputs. The $0.75m tolerance covers 15 rounding terms; H1 2026 differs by $0.2m. Forecast identities use a $0.00001m numerical tolerance.</x:v>
      </x:c>
      <x:c r="F38" s="58" t="str">
        <x:v>Reported cash-flow bridges sum individually rounded $0.1m inputs. The $0.75m tolerance covers 15 rounding terms; H1 2026 differs by $0.2m. Forecast identities use a $0.00001m numerical tolerance.</x:v>
      </x:c>
      <x:c r="G38" s="58" t="str">
        <x:v>Reported cash-flow bridges sum individually rounded $0.1m inputs. The $0.75m tolerance covers 15 rounding terms; H1 2026 differs by $0.2m. Forecast identities use a $0.00001m numerical tolerance.</x:v>
      </x:c>
      <x:c r="H38" s="58" t="str">
        <x:v>Reported cash-flow bridges sum individually rounded $0.1m inputs. The $0.75m tolerance covers 15 rounding terms; H1 2026 differs by $0.2m. Forecast identities use a $0.00001m numerical tolerance.</x:v>
      </x:c>
      <x:c r="I38" s="58" t="str">
        <x:v>Reported cash-flow bridges sum individually rounded $0.1m inputs. The $0.75m tolerance covers 15 rounding terms; H1 2026 differs by $0.2m. Forecast identities use a $0.00001m numerical tolerance.</x:v>
      </x:c>
      <x:c r="J38" s="58" t="str">
        <x:v>Reported cash-flow bridges sum individually rounded $0.1m inputs. The $0.75m tolerance covers 15 rounding terms; H1 2026 differs by $0.2m. Forecast identities use a $0.00001m numerical tolerance.</x:v>
      </x:c>
      <x:c r="K38" s="58" t="str">
        <x:v>Reported cash-flow bridges sum individually rounded $0.1m inputs. The $0.75m tolerance covers 15 rounding terms; H1 2026 differs by $0.2m. Forecast identities use a $0.00001m numerical tolerance.</x:v>
      </x:c>
      <x:c r="L38" s="2"/>
      <x:c r="M38" s="2"/>
      <x:c r="N38" s="2"/>
      <x:c r="O38" s="2"/>
    </x:row>
    <x:row r="39" ht="24" customHeight="1">
      <x:c r="A39" s="2"/>
      <x:c r="B39" s="2"/>
      <x:c r="C39" s="40" t="str">
        <x:v>Reported cash-flow bridges sum individually rounded $0.1m inputs. The $0.75m tolerance covers 15 rounding terms; H1 2026 differs by $0.2m. Forecast identities use a $0.00001m numerical tolerance.</x:v>
      </x:c>
      <x:c r="D39" s="40" t="str">
        <x:v>Reported cash-flow bridges sum individually rounded $0.1m inputs. The $0.75m tolerance covers 15 rounding terms; H1 2026 differs by $0.2m. Forecast identities use a $0.00001m numerical tolerance.</x:v>
      </x:c>
      <x:c r="E39" s="58" t="str">
        <x:v>Reported cash-flow bridges sum individually rounded $0.1m inputs. The $0.75m tolerance covers 15 rounding terms; H1 2026 differs by $0.2m. Forecast identities use a $0.00001m numerical tolerance.</x:v>
      </x:c>
      <x:c r="F39" s="58" t="str">
        <x:v>Reported cash-flow bridges sum individually rounded $0.1m inputs. The $0.75m tolerance covers 15 rounding terms; H1 2026 differs by $0.2m. Forecast identities use a $0.00001m numerical tolerance.</x:v>
      </x:c>
      <x:c r="G39" s="58" t="str">
        <x:v>Reported cash-flow bridges sum individually rounded $0.1m inputs. The $0.75m tolerance covers 15 rounding terms; H1 2026 differs by $0.2m. Forecast identities use a $0.00001m numerical tolerance.</x:v>
      </x:c>
      <x:c r="H39" s="58" t="str">
        <x:v>Reported cash-flow bridges sum individually rounded $0.1m inputs. The $0.75m tolerance covers 15 rounding terms; H1 2026 differs by $0.2m. Forecast identities use a $0.00001m numerical tolerance.</x:v>
      </x:c>
      <x:c r="I39" s="58" t="str">
        <x:v>Reported cash-flow bridges sum individually rounded $0.1m inputs. The $0.75m tolerance covers 15 rounding terms; H1 2026 differs by $0.2m. Forecast identities use a $0.00001m numerical tolerance.</x:v>
      </x:c>
      <x:c r="J39" s="58" t="str">
        <x:v>Reported cash-flow bridges sum individually rounded $0.1m inputs. The $0.75m tolerance covers 15 rounding terms; H1 2026 differs by $0.2m. Forecast identities use a $0.00001m numerical tolerance.</x:v>
      </x:c>
      <x:c r="K39" s="58" t="str">
        <x:v>Reported cash-flow bridges sum individually rounded $0.1m inputs. The $0.75m tolerance covers 15 rounding terms; H1 2026 differs by $0.2m. Forecast identities use a $0.00001m numerical tolerance.</x:v>
      </x:c>
      <x:c r="L39" s="2"/>
      <x:c r="M39" s="2"/>
      <x:c r="N39" s="2"/>
      <x:c r="O39" s="2"/>
    </x:row>
    <x:row r="40" ht="22" customHeight="1">
      <x:c r="A40" s="2"/>
      <x:c r="B40" s="2"/>
      <x:c r="C40" s="2"/>
      <x:c r="D40" s="2"/>
      <x:c r="E40" s="4"/>
      <x:c r="F40" s="4"/>
      <x:c r="G40" s="4"/>
      <x:c r="H40" s="4"/>
      <x:c r="I40" s="4"/>
      <x:c r="J40" s="4"/>
      <x:c r="K40" s="4"/>
      <x:c r="L40" s="2"/>
      <x:c r="M40" s="2"/>
      <x:c r="N40" s="2"/>
      <x:c r="O40" s="2"/>
    </x:row>
    <x:row r="41" ht="22" customHeight="1">
      <x:c r="A41" s="2"/>
      <x:c r="B41" s="2"/>
      <x:c r="C41" s="2"/>
      <x:c r="D41" s="2"/>
      <x:c r="E41" s="4"/>
      <x:c r="F41" s="4"/>
      <x:c r="G41" s="4"/>
      <x:c r="H41" s="4"/>
      <x:c r="I41" s="4"/>
      <x:c r="J41" s="4"/>
      <x:c r="K41" s="4"/>
      <x:c r="L41" s="2"/>
      <x:c r="M41" s="2"/>
      <x:c r="N41" s="2"/>
      <x:c r="O41" s="2"/>
    </x:row>
    <x:row r="42" ht="22" customHeight="1">
      <x:c r="A42" s="2"/>
      <x:c r="B42" s="2"/>
      <x:c r="C42" s="2"/>
      <x:c r="D42" s="2"/>
      <x:c r="E42" s="4"/>
      <x:c r="F42" s="4"/>
      <x:c r="G42" s="4"/>
      <x:c r="H42" s="4"/>
      <x:c r="I42" s="4"/>
      <x:c r="J42" s="4"/>
      <x:c r="K42" s="4"/>
      <x:c r="L42" s="2"/>
      <x:c r="M42" s="2"/>
      <x:c r="N42" s="2"/>
      <x:c r="O42" s="2"/>
    </x:row>
    <x:row r="43" ht="22" customHeight="1">
      <x:c r="A43" s="2"/>
      <x:c r="B43" s="2"/>
      <x:c r="C43" s="2"/>
      <x:c r="D43" s="2"/>
      <x:c r="E43" s="4"/>
      <x:c r="F43" s="4"/>
      <x:c r="G43" s="4"/>
      <x:c r="H43" s="4"/>
      <x:c r="I43" s="4"/>
      <x:c r="J43" s="4"/>
      <x:c r="K43" s="4"/>
      <x:c r="L43" s="2"/>
      <x:c r="M43" s="2"/>
      <x:c r="N43" s="2"/>
      <x:c r="O43" s="2"/>
    </x:row>
    <x:row r="44" ht="22" customHeight="1">
      <x:c r="A44" s="2"/>
      <x:c r="B44" s="2"/>
      <x:c r="C44" s="2"/>
      <x:c r="D44" s="2"/>
      <x:c r="E44" s="4"/>
      <x:c r="F44" s="4"/>
      <x:c r="G44" s="4"/>
      <x:c r="H44" s="4"/>
      <x:c r="I44" s="4"/>
      <x:c r="J44" s="4"/>
      <x:c r="K44" s="4"/>
      <x:c r="L44" s="2"/>
      <x:c r="M44" s="2"/>
      <x:c r="N44" s="2"/>
      <x:c r="O44" s="2"/>
    </x:row>
    <x:row r="45" ht="22" customHeight="1">
      <x:c r="A45" s="2"/>
      <x:c r="B45" s="2"/>
      <x:c r="C45" s="2"/>
      <x:c r="D45" s="2"/>
      <x:c r="E45" s="4"/>
      <x:c r="F45" s="4"/>
      <x:c r="G45" s="4"/>
      <x:c r="H45" s="4"/>
      <x:c r="I45" s="4"/>
      <x:c r="J45" s="4"/>
      <x:c r="K45" s="4"/>
      <x:c r="L45" s="2"/>
      <x:c r="M45" s="2"/>
      <x:c r="N45" s="2"/>
      <x:c r="O45" s="2"/>
    </x:row>
    <x:row r="46" ht="22" customHeight="1">
      <x:c r="A46" s="2"/>
      <x:c r="B46" s="2"/>
      <x:c r="C46" s="2"/>
      <x:c r="D46" s="2"/>
      <x:c r="E46" s="4"/>
      <x:c r="F46" s="4"/>
      <x:c r="G46" s="4"/>
      <x:c r="H46" s="4"/>
      <x:c r="I46" s="4"/>
      <x:c r="J46" s="4"/>
      <x:c r="K46" s="4"/>
      <x:c r="L46" s="2"/>
      <x:c r="M46" s="2"/>
      <x:c r="N46" s="2"/>
      <x:c r="O46" s="2"/>
    </x:row>
    <x:row r="47" ht="22" customHeight="1">
      <x:c r="A47" s="2"/>
      <x:c r="B47" s="2"/>
      <x:c r="C47" s="2"/>
      <x:c r="D47" s="2"/>
      <x:c r="E47" s="4"/>
      <x:c r="F47" s="4"/>
      <x:c r="G47" s="4"/>
      <x:c r="H47" s="4"/>
      <x:c r="I47" s="4"/>
      <x:c r="J47" s="4"/>
      <x:c r="K47" s="4"/>
      <x:c r="L47" s="2"/>
      <x:c r="M47" s="2"/>
      <x:c r="N47" s="2"/>
      <x:c r="O47" s="2"/>
    </x:row>
    <x:row r="48" ht="22" customHeight="1">
      <x:c r="A48" s="2"/>
      <x:c r="B48" s="2"/>
      <x:c r="C48" s="2"/>
      <x:c r="D48" s="2"/>
      <x:c r="E48" s="4"/>
      <x:c r="F48" s="4"/>
      <x:c r="G48" s="4"/>
      <x:c r="H48" s="4"/>
      <x:c r="I48" s="4"/>
      <x:c r="J48" s="4"/>
      <x:c r="K48" s="4"/>
      <x:c r="L48" s="2"/>
      <x:c r="M48" s="2"/>
      <x:c r="N48" s="2"/>
      <x:c r="O48" s="2"/>
    </x:row>
    <x:row r="49" ht="22" customHeight="1">
      <x:c r="A49" s="2"/>
      <x:c r="B49" s="2"/>
      <x:c r="C49" s="2"/>
      <x:c r="D49" s="2"/>
      <x:c r="E49" s="4"/>
      <x:c r="F49" s="4"/>
      <x:c r="G49" s="4"/>
      <x:c r="H49" s="4"/>
      <x:c r="I49" s="4"/>
      <x:c r="J49" s="4"/>
      <x:c r="K49" s="4"/>
      <x:c r="L49" s="2"/>
      <x:c r="M49" s="2"/>
      <x:c r="N49" s="2"/>
      <x:c r="O49" s="2"/>
    </x:row>
    <x:row r="50" ht="22" customHeight="1">
      <x:c r="A50" s="2"/>
      <x:c r="B50" s="2"/>
      <x:c r="C50" s="2"/>
      <x:c r="D50" s="2"/>
      <x:c r="E50" s="4"/>
      <x:c r="F50" s="4"/>
      <x:c r="G50" s="4"/>
      <x:c r="H50" s="4"/>
      <x:c r="I50" s="4"/>
      <x:c r="J50" s="4"/>
      <x:c r="K50" s="4"/>
      <x:c r="L50" s="2"/>
      <x:c r="M50" s="2"/>
      <x:c r="N50" s="2"/>
      <x:c r="O50" s="2"/>
    </x:row>
    <x:row r="51" ht="22" customHeight="1">
      <x:c r="A51" s="2"/>
      <x:c r="B51" s="2"/>
      <x:c r="C51" s="2"/>
      <x:c r="D51" s="2"/>
      <x:c r="E51" s="4"/>
      <x:c r="F51" s="4"/>
      <x:c r="G51" s="4"/>
      <x:c r="H51" s="4"/>
      <x:c r="I51" s="4"/>
      <x:c r="J51" s="4"/>
      <x:c r="K51" s="4"/>
      <x:c r="L51" s="2"/>
      <x:c r="M51" s="2"/>
      <x:c r="N51" s="2"/>
      <x:c r="O51" s="2"/>
    </x:row>
    <x:row r="52" ht="22" customHeight="1">
      <x:c r="A52" s="2"/>
      <x:c r="B52" s="2"/>
      <x:c r="C52" s="2"/>
      <x:c r="D52" s="2"/>
      <x:c r="E52" s="4"/>
      <x:c r="F52" s="4"/>
      <x:c r="G52" s="4"/>
      <x:c r="H52" s="4"/>
      <x:c r="I52" s="4"/>
      <x:c r="J52" s="4"/>
      <x:c r="K52" s="4"/>
      <x:c r="L52" s="2"/>
      <x:c r="M52" s="2"/>
      <x:c r="N52" s="2"/>
      <x:c r="O52" s="2"/>
    </x:row>
    <x:row r="53" ht="22" customHeight="1">
      <x:c r="A53" s="2"/>
      <x:c r="B53" s="2"/>
      <x:c r="C53" s="2"/>
      <x:c r="D53" s="2"/>
      <x:c r="E53" s="4"/>
      <x:c r="F53" s="4"/>
      <x:c r="G53" s="4"/>
      <x:c r="H53" s="4"/>
      <x:c r="I53" s="4"/>
      <x:c r="J53" s="4"/>
      <x:c r="K53" s="4"/>
      <x:c r="L53" s="2"/>
      <x:c r="M53" s="2"/>
      <x:c r="N53" s="2"/>
      <x:c r="O53" s="2"/>
    </x:row>
    <x:row r="54" ht="22" customHeight="1">
      <x:c r="A54" s="2"/>
      <x:c r="B54" s="2"/>
      <x:c r="C54" s="2"/>
      <x:c r="D54" s="2"/>
      <x:c r="E54" s="4"/>
      <x:c r="F54" s="4"/>
      <x:c r="G54" s="4"/>
      <x:c r="H54" s="4"/>
      <x:c r="I54" s="4"/>
      <x:c r="J54" s="4"/>
      <x:c r="K54" s="4"/>
      <x:c r="L54" s="2"/>
      <x:c r="M54" s="2"/>
      <x:c r="N54" s="2"/>
      <x:c r="O54" s="2"/>
    </x:row>
    <x:row r="55" ht="22" customHeight="1">
      <x:c r="A55" s="2"/>
      <x:c r="B55" s="2"/>
      <x:c r="C55" s="2"/>
      <x:c r="D55" s="2"/>
      <x:c r="E55" s="4"/>
      <x:c r="F55" s="4"/>
      <x:c r="G55" s="4"/>
      <x:c r="H55" s="4"/>
      <x:c r="I55" s="4"/>
      <x:c r="J55" s="4"/>
      <x:c r="K55" s="4"/>
      <x:c r="L55" s="2"/>
      <x:c r="M55" s="2"/>
      <x:c r="N55" s="2"/>
      <x:c r="O55" s="2"/>
    </x:row>
    <x:row r="56" ht="22" customHeight="1">
      <x:c r="A56" s="2"/>
      <x:c r="B56" s="2"/>
      <x:c r="C56" s="2"/>
      <x:c r="D56" s="2"/>
      <x:c r="E56" s="4"/>
      <x:c r="F56" s="4"/>
      <x:c r="G56" s="4"/>
      <x:c r="H56" s="4"/>
      <x:c r="I56" s="4"/>
      <x:c r="J56" s="4"/>
      <x:c r="K56" s="4"/>
      <x:c r="L56" s="2"/>
      <x:c r="M56" s="2"/>
      <x:c r="N56" s="2"/>
      <x:c r="O56" s="2"/>
    </x:row>
    <x:row r="57" ht="22" customHeight="1">
      <x:c r="A57" s="2"/>
      <x:c r="B57" s="2"/>
      <x:c r="C57" s="2"/>
      <x:c r="D57" s="2"/>
      <x:c r="E57" s="4"/>
      <x:c r="F57" s="4"/>
      <x:c r="G57" s="4"/>
      <x:c r="H57" s="4"/>
      <x:c r="I57" s="4"/>
      <x:c r="J57" s="4"/>
      <x:c r="K57" s="4"/>
      <x:c r="L57" s="2"/>
      <x:c r="M57" s="2"/>
      <x:c r="N57" s="2"/>
      <x:c r="O57" s="2"/>
    </x:row>
    <x:row r="58" ht="22" customHeight="1">
      <x:c r="A58" s="2"/>
      <x:c r="B58" s="2"/>
      <x:c r="C58" s="2"/>
      <x:c r="D58" s="2"/>
      <x:c r="E58" s="4"/>
      <x:c r="F58" s="4"/>
      <x:c r="G58" s="4"/>
      <x:c r="H58" s="4"/>
      <x:c r="I58" s="4"/>
      <x:c r="J58" s="4"/>
      <x:c r="K58" s="4"/>
      <x:c r="L58" s="2"/>
      <x:c r="M58" s="2"/>
      <x:c r="N58" s="2"/>
      <x:c r="O58" s="2"/>
    </x:row>
    <x:row r="59" ht="22" customHeight="1">
      <x:c r="A59" s="2"/>
      <x:c r="B59" s="2"/>
      <x:c r="C59" s="2"/>
      <x:c r="D59" s="2"/>
      <x:c r="E59" s="4"/>
      <x:c r="F59" s="4"/>
      <x:c r="G59" s="4"/>
      <x:c r="H59" s="4"/>
      <x:c r="I59" s="4"/>
      <x:c r="J59" s="4"/>
      <x:c r="K59" s="4"/>
      <x:c r="L59" s="2"/>
      <x:c r="M59" s="2"/>
      <x:c r="N59" s="2"/>
      <x:c r="O59" s="2"/>
    </x:row>
    <x:row r="60" ht="22" customHeight="1">
      <x:c r="A60" s="2"/>
      <x:c r="B60" s="2"/>
      <x:c r="C60" s="2"/>
      <x:c r="D60" s="2"/>
      <x:c r="E60" s="4"/>
      <x:c r="F60" s="4"/>
      <x:c r="G60" s="4"/>
      <x:c r="H60" s="4"/>
      <x:c r="I60" s="4"/>
      <x:c r="J60" s="4"/>
      <x:c r="K60" s="4"/>
      <x:c r="L60" s="2"/>
      <x:c r="M60" s="2"/>
      <x:c r="N60" s="2"/>
      <x:c r="O60" s="2"/>
    </x:row>
    <x:row r="61" ht="22" customHeight="1">
      <x:c r="A61" s="2"/>
      <x:c r="B61" s="2"/>
      <x:c r="C61" s="2"/>
      <x:c r="D61" s="2"/>
      <x:c r="E61" s="4"/>
      <x:c r="F61" s="4"/>
      <x:c r="G61" s="4"/>
      <x:c r="H61" s="4"/>
      <x:c r="I61" s="4"/>
      <x:c r="J61" s="4"/>
      <x:c r="K61" s="4"/>
      <x:c r="L61" s="2"/>
      <x:c r="M61" s="2"/>
      <x:c r="N61" s="2"/>
      <x:c r="O61" s="2"/>
    </x:row>
    <x:row r="62" ht="22" customHeight="1">
      <x:c r="A62" s="2"/>
      <x:c r="B62" s="2"/>
      <x:c r="C62" s="2"/>
      <x:c r="D62" s="2"/>
      <x:c r="E62" s="4"/>
      <x:c r="F62" s="4"/>
      <x:c r="G62" s="4"/>
      <x:c r="H62" s="4"/>
      <x:c r="I62" s="4"/>
      <x:c r="J62" s="4"/>
      <x:c r="K62" s="4"/>
      <x:c r="L62" s="2"/>
      <x:c r="M62" s="2"/>
      <x:c r="N62" s="2"/>
      <x:c r="O62" s="2"/>
    </x:row>
    <x:row r="63" ht="22" customHeight="1">
      <x:c r="A63" s="2"/>
      <x:c r="B63" s="2"/>
      <x:c r="C63" s="2"/>
      <x:c r="D63" s="2"/>
      <x:c r="E63" s="4"/>
      <x:c r="F63" s="4"/>
      <x:c r="G63" s="4"/>
      <x:c r="H63" s="4"/>
      <x:c r="I63" s="4"/>
      <x:c r="J63" s="4"/>
      <x:c r="K63" s="4"/>
      <x:c r="L63" s="2"/>
      <x:c r="M63" s="2"/>
      <x:c r="N63" s="2"/>
      <x:c r="O63" s="2"/>
    </x:row>
    <x:row r="64" ht="22" customHeight="1">
      <x:c r="A64" s="2"/>
      <x:c r="B64" s="2"/>
      <x:c r="C64" s="2"/>
      <x:c r="D64" s="2"/>
      <x:c r="E64" s="4"/>
      <x:c r="F64" s="4"/>
      <x:c r="G64" s="4"/>
      <x:c r="H64" s="4"/>
      <x:c r="I64" s="4"/>
      <x:c r="J64" s="4"/>
      <x:c r="K64" s="4"/>
      <x:c r="L64" s="2"/>
      <x:c r="M64" s="2"/>
      <x:c r="N64" s="2"/>
      <x:c r="O64" s="2"/>
    </x:row>
    <x:row r="65" ht="22" customHeight="1">
      <x:c r="A65" s="2"/>
      <x:c r="B65" s="2"/>
      <x:c r="C65" s="2"/>
      <x:c r="D65" s="2"/>
      <x:c r="E65" s="4"/>
      <x:c r="F65" s="4"/>
      <x:c r="G65" s="4"/>
      <x:c r="H65" s="4"/>
      <x:c r="I65" s="4"/>
      <x:c r="J65" s="4"/>
      <x:c r="K65" s="4"/>
      <x:c r="L65" s="2"/>
      <x:c r="M65" s="2"/>
      <x:c r="N65" s="2"/>
      <x:c r="O65" s="2"/>
    </x:row>
  </x:sheetData>
  <x:mergeCells>
    <x:mergeCell ref="C2:K2"/>
    <x:mergeCell ref="C4:K5"/>
    <x:mergeCell ref="C37:K39"/>
  </x:mergeCells>
  <x:conditionalFormatting sqref="G9:G33">
    <x:cfRule type="containsText" dxfId="0" priority="1" operator="containsText" text="REVIEW"/>
  </x:conditionalFormatting>
  <x:pageMargins left="0.7" right="0.7" top="0.75" bottom="0.75" header="0.3" footer="0.3"/>
</x:worksheet>
</file>